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9810" tabRatio="363"/>
  </bookViews>
  <sheets>
    <sheet name="ЧОУ 2025" sheetId="22" r:id="rId1"/>
    <sheet name="ЧЕГ2025" sheetId="23" r:id="rId2"/>
  </sheets>
  <calcPr calcId="162913"/>
</workbook>
</file>

<file path=xl/calcChain.xml><?xml version="1.0" encoding="utf-8"?>
<calcChain xmlns="http://schemas.openxmlformats.org/spreadsheetml/2006/main">
  <c r="G436" i="22" l="1"/>
  <c r="G427" i="22"/>
  <c r="G426" i="22"/>
  <c r="G423" i="22"/>
  <c r="G437" i="22"/>
  <c r="G381" i="22"/>
  <c r="G395" i="22"/>
  <c r="G394" i="22"/>
  <c r="G385" i="22"/>
  <c r="G384" i="22"/>
  <c r="G412" i="23"/>
  <c r="G420" i="23"/>
  <c r="G410" i="23"/>
  <c r="G409" i="23"/>
  <c r="G406" i="23"/>
  <c r="G380" i="23"/>
  <c r="E378" i="23"/>
  <c r="G370" i="23"/>
  <c r="G369" i="23"/>
  <c r="G366" i="23"/>
  <c r="G345" i="22" l="1"/>
  <c r="G351" i="22"/>
  <c r="G358" i="22"/>
  <c r="G348" i="22"/>
  <c r="G349" i="22"/>
  <c r="G320" i="22"/>
  <c r="G313" i="22"/>
  <c r="G311" i="22"/>
  <c r="G310" i="22"/>
  <c r="G307" i="22"/>
  <c r="G250" i="22"/>
  <c r="G242" i="22"/>
  <c r="G279" i="22"/>
  <c r="G286" i="22"/>
  <c r="G287" i="22"/>
  <c r="G276" i="22"/>
  <c r="G277" i="22"/>
  <c r="G273" i="22"/>
  <c r="G249" i="22"/>
  <c r="G240" i="22"/>
  <c r="G236" i="22"/>
  <c r="G239" i="22"/>
  <c r="G345" i="23" l="1"/>
  <c r="G344" i="23"/>
  <c r="G334" i="23"/>
  <c r="G337" i="23"/>
  <c r="G298" i="23"/>
  <c r="G302" i="23"/>
  <c r="G335" i="23"/>
  <c r="G331" i="23"/>
  <c r="G312" i="23"/>
  <c r="G311" i="23"/>
  <c r="G304" i="23"/>
  <c r="G301" i="23"/>
  <c r="G265" i="23"/>
  <c r="G279" i="23"/>
  <c r="G278" i="23"/>
  <c r="G271" i="23"/>
  <c r="G269" i="23"/>
  <c r="G268" i="23"/>
  <c r="G244" i="23"/>
  <c r="G235" i="23"/>
  <c r="G234" i="23"/>
  <c r="G231" i="23"/>
  <c r="G245" i="23"/>
  <c r="G237" i="23"/>
  <c r="G213" i="22" l="1"/>
  <c r="G212" i="22"/>
  <c r="B212" i="22" s="1"/>
  <c r="D212" i="22" s="1"/>
  <c r="G203" i="22"/>
  <c r="G202" i="22"/>
  <c r="B202" i="22" s="1"/>
  <c r="G199" i="22"/>
  <c r="G167" i="22"/>
  <c r="B167" i="22" s="1"/>
  <c r="G163" i="22"/>
  <c r="G166" i="22"/>
  <c r="G177" i="22"/>
  <c r="B177" i="22" s="1"/>
  <c r="D177" i="22" s="1"/>
  <c r="G176" i="22"/>
  <c r="B176" i="22" s="1"/>
  <c r="D176" i="22" s="1"/>
  <c r="G138" i="22"/>
  <c r="G137" i="22"/>
  <c r="B137" i="22" s="1"/>
  <c r="D137" i="22" s="1"/>
  <c r="G128" i="22"/>
  <c r="G124" i="22"/>
  <c r="G127" i="22"/>
  <c r="G99" i="22"/>
  <c r="B99" i="22" s="1"/>
  <c r="D99" i="22" s="1"/>
  <c r="G98" i="22"/>
  <c r="G89" i="22"/>
  <c r="G88" i="22"/>
  <c r="G85" i="22"/>
  <c r="G53" i="22"/>
  <c r="G49" i="22"/>
  <c r="G63" i="22"/>
  <c r="B63" i="22" s="1"/>
  <c r="D63" i="22" s="1"/>
  <c r="G62" i="22"/>
  <c r="G52" i="22"/>
  <c r="G25" i="22"/>
  <c r="G14" i="22"/>
  <c r="B14" i="22" s="1"/>
  <c r="D14" i="22" s="1"/>
  <c r="G15" i="22"/>
  <c r="G11" i="22"/>
  <c r="G211" i="23"/>
  <c r="G210" i="23"/>
  <c r="G202" i="23"/>
  <c r="G203" i="23" s="1"/>
  <c r="G201" i="23"/>
  <c r="B201" i="23" s="1"/>
  <c r="G197" i="23"/>
  <c r="G198" i="23" s="1"/>
  <c r="G200" i="23"/>
  <c r="B200" i="23" s="1"/>
  <c r="D200" i="23" s="1"/>
  <c r="G177" i="23"/>
  <c r="G176" i="23"/>
  <c r="G167" i="23"/>
  <c r="G166" i="23"/>
  <c r="B166" i="23" s="1"/>
  <c r="D166" i="23" s="1"/>
  <c r="G163" i="23"/>
  <c r="G168" i="23"/>
  <c r="G169" i="23" s="1"/>
  <c r="G142" i="23"/>
  <c r="B142" i="23" s="1"/>
  <c r="G141" i="23"/>
  <c r="G133" i="23"/>
  <c r="G134" i="23" s="1"/>
  <c r="B134" i="23" s="1"/>
  <c r="G131" i="23"/>
  <c r="B131" i="23" s="1"/>
  <c r="G132" i="23"/>
  <c r="B132" i="23" s="1"/>
  <c r="D132" i="23" s="1"/>
  <c r="G128" i="23"/>
  <c r="G98" i="23"/>
  <c r="G97" i="23"/>
  <c r="G90" i="23"/>
  <c r="G88" i="23"/>
  <c r="B88" i="23" s="1"/>
  <c r="D88" i="23" s="1"/>
  <c r="G87" i="23"/>
  <c r="B87" i="23" s="1"/>
  <c r="D87" i="23" s="1"/>
  <c r="G84" i="23"/>
  <c r="G85" i="23" s="1"/>
  <c r="G60" i="23"/>
  <c r="G52" i="23"/>
  <c r="G46" i="23"/>
  <c r="G50" i="23"/>
  <c r="B50" i="23" s="1"/>
  <c r="D50" i="23" s="1"/>
  <c r="G49" i="23"/>
  <c r="B49" i="23" s="1"/>
  <c r="G24" i="23"/>
  <c r="G23" i="23"/>
  <c r="G16" i="23"/>
  <c r="B16" i="23" s="1"/>
  <c r="D16" i="23" s="1"/>
  <c r="B687" i="23"/>
  <c r="G685" i="23"/>
  <c r="B685" i="23" s="1"/>
  <c r="D685" i="23" s="1"/>
  <c r="G684" i="23"/>
  <c r="B684" i="23" s="1"/>
  <c r="E683" i="23"/>
  <c r="E680" i="23"/>
  <c r="B680" i="23"/>
  <c r="G677" i="23"/>
  <c r="B677" i="23"/>
  <c r="B676" i="23"/>
  <c r="D676" i="23" s="1"/>
  <c r="B675" i="23"/>
  <c r="D675" i="23" s="1"/>
  <c r="G674" i="23"/>
  <c r="B674" i="23" s="1"/>
  <c r="D674" i="23" s="1"/>
  <c r="G671" i="23"/>
  <c r="K567" i="23" s="1"/>
  <c r="K568" i="23" s="1"/>
  <c r="B645" i="23"/>
  <c r="G643" i="23"/>
  <c r="B643" i="23"/>
  <c r="D643" i="23" s="1"/>
  <c r="G642" i="23"/>
  <c r="B642" i="23" s="1"/>
  <c r="B641" i="23"/>
  <c r="E641" i="23" s="1"/>
  <c r="K638" i="23"/>
  <c r="K639" i="23" s="1"/>
  <c r="B638" i="23"/>
  <c r="E638" i="23" s="1"/>
  <c r="G635" i="23"/>
  <c r="B634" i="23"/>
  <c r="D634" i="23" s="1"/>
  <c r="G633" i="23"/>
  <c r="B633" i="23" s="1"/>
  <c r="D633" i="23" s="1"/>
  <c r="G632" i="23"/>
  <c r="G629" i="23"/>
  <c r="G630" i="23" s="1"/>
  <c r="B609" i="23"/>
  <c r="G607" i="23"/>
  <c r="G606" i="23"/>
  <c r="B606" i="23" s="1"/>
  <c r="B605" i="23"/>
  <c r="E605" i="23" s="1"/>
  <c r="K602" i="23"/>
  <c r="K603" i="23" s="1"/>
  <c r="B602" i="23"/>
  <c r="E602" i="23" s="1"/>
  <c r="E610" i="23" s="1"/>
  <c r="G599" i="23"/>
  <c r="B598" i="23"/>
  <c r="D598" i="23" s="1"/>
  <c r="G597" i="23"/>
  <c r="B597" i="23" s="1"/>
  <c r="G596" i="23"/>
  <c r="G593" i="23"/>
  <c r="G594" i="23" s="1"/>
  <c r="B574" i="23"/>
  <c r="G572" i="23"/>
  <c r="G571" i="23"/>
  <c r="B571" i="23" s="1"/>
  <c r="B570" i="23"/>
  <c r="E570" i="23" s="1"/>
  <c r="B567" i="23"/>
  <c r="E567" i="23" s="1"/>
  <c r="G564" i="23"/>
  <c r="B563" i="23"/>
  <c r="D563" i="23" s="1"/>
  <c r="G562" i="23"/>
  <c r="G561" i="23"/>
  <c r="G558" i="23"/>
  <c r="K536" i="23"/>
  <c r="K537" i="23" s="1"/>
  <c r="G530" i="23"/>
  <c r="G529" i="23"/>
  <c r="B529" i="23" s="1"/>
  <c r="B525" i="23"/>
  <c r="E525" i="23" s="1"/>
  <c r="E533" i="23" s="1"/>
  <c r="G522" i="23"/>
  <c r="B521" i="23"/>
  <c r="D521" i="23" s="1"/>
  <c r="G520" i="23"/>
  <c r="B520" i="23" s="1"/>
  <c r="D520" i="23" s="1"/>
  <c r="G519" i="23"/>
  <c r="B519" i="23"/>
  <c r="G516" i="23"/>
  <c r="G517" i="23" s="1"/>
  <c r="K502" i="23"/>
  <c r="K503" i="23" s="1"/>
  <c r="G496" i="23"/>
  <c r="B496" i="23"/>
  <c r="G495" i="23"/>
  <c r="B491" i="23"/>
  <c r="E491" i="23" s="1"/>
  <c r="E499" i="23" s="1"/>
  <c r="G488" i="23"/>
  <c r="B488" i="23"/>
  <c r="D487" i="23"/>
  <c r="B487" i="23"/>
  <c r="G486" i="23"/>
  <c r="B486" i="23" s="1"/>
  <c r="G485" i="23"/>
  <c r="B483" i="23"/>
  <c r="B482" i="23" s="1"/>
  <c r="G482" i="23"/>
  <c r="G483" i="23" s="1"/>
  <c r="K468" i="23"/>
  <c r="K469" i="23" s="1"/>
  <c r="G462" i="23"/>
  <c r="B462" i="23" s="1"/>
  <c r="D462" i="23" s="1"/>
  <c r="G461" i="23"/>
  <c r="B461" i="23" s="1"/>
  <c r="B457" i="23"/>
  <c r="E457" i="23" s="1"/>
  <c r="E465" i="23" s="1"/>
  <c r="G454" i="23"/>
  <c r="B453" i="23"/>
  <c r="D453" i="23" s="1"/>
  <c r="G452" i="23"/>
  <c r="B452" i="23" s="1"/>
  <c r="G451" i="23"/>
  <c r="B451" i="23" s="1"/>
  <c r="D451" i="23" s="1"/>
  <c r="G448" i="23"/>
  <c r="G449" i="23" s="1"/>
  <c r="B420" i="23"/>
  <c r="B419" i="23"/>
  <c r="E418" i="23"/>
  <c r="E423" i="23" s="1"/>
  <c r="B411" i="23"/>
  <c r="D411" i="23" s="1"/>
  <c r="G407" i="23"/>
  <c r="B380" i="23"/>
  <c r="B379" i="23"/>
  <c r="B375" i="23"/>
  <c r="E375" i="23" s="1"/>
  <c r="E383" i="23" s="1"/>
  <c r="B370" i="23"/>
  <c r="B369" i="23"/>
  <c r="G367" i="23"/>
  <c r="B345" i="23"/>
  <c r="D345" i="23" s="1"/>
  <c r="B344" i="23"/>
  <c r="D344" i="23" s="1"/>
  <c r="E343" i="23"/>
  <c r="B340" i="23"/>
  <c r="E340" i="23" s="1"/>
  <c r="E348" i="23" s="1"/>
  <c r="B335" i="23"/>
  <c r="D335" i="23" s="1"/>
  <c r="B334" i="23"/>
  <c r="D334" i="23" s="1"/>
  <c r="G332" i="23"/>
  <c r="B332" i="23" s="1"/>
  <c r="B312" i="23"/>
  <c r="B311" i="23"/>
  <c r="E310" i="23"/>
  <c r="B307" i="23"/>
  <c r="E307" i="23" s="1"/>
  <c r="E315" i="23" s="1"/>
  <c r="B302" i="23"/>
  <c r="B301" i="23"/>
  <c r="G299" i="23"/>
  <c r="B279" i="23"/>
  <c r="D279" i="23" s="1"/>
  <c r="E277" i="23"/>
  <c r="B274" i="23"/>
  <c r="E274" i="23" s="1"/>
  <c r="B271" i="23"/>
  <c r="B269" i="23"/>
  <c r="G266" i="23"/>
  <c r="B266" i="23" s="1"/>
  <c r="E243" i="23"/>
  <c r="B240" i="23"/>
  <c r="E240" i="23" s="1"/>
  <c r="B234" i="23"/>
  <c r="G232" i="23"/>
  <c r="B232" i="23" s="1"/>
  <c r="B206" i="23"/>
  <c r="E206" i="23" s="1"/>
  <c r="E214" i="23" s="1"/>
  <c r="B211" i="23"/>
  <c r="B172" i="23"/>
  <c r="E172" i="23" s="1"/>
  <c r="E180" i="23" s="1"/>
  <c r="G164" i="23"/>
  <c r="B164" i="23" s="1"/>
  <c r="B163" i="23" s="1"/>
  <c r="B141" i="23"/>
  <c r="B137" i="23"/>
  <c r="E137" i="23" s="1"/>
  <c r="E145" i="23" s="1"/>
  <c r="G129" i="23"/>
  <c r="B129" i="23" s="1"/>
  <c r="B128" i="23" s="1"/>
  <c r="B98" i="23"/>
  <c r="B97" i="23"/>
  <c r="B93" i="23"/>
  <c r="E93" i="23" s="1"/>
  <c r="E101" i="23" s="1"/>
  <c r="B89" i="23"/>
  <c r="D89" i="23" s="1"/>
  <c r="B59" i="23"/>
  <c r="D59" i="23" s="1"/>
  <c r="B55" i="23"/>
  <c r="E55" i="23" s="1"/>
  <c r="E63" i="23" s="1"/>
  <c r="B52" i="23"/>
  <c r="D52" i="23" s="1"/>
  <c r="B51" i="23"/>
  <c r="D51" i="23" s="1"/>
  <c r="G47" i="23"/>
  <c r="B24" i="23"/>
  <c r="D24" i="23" s="1"/>
  <c r="B23" i="23"/>
  <c r="D23" i="23" s="1"/>
  <c r="B19" i="23"/>
  <c r="E19" i="23" s="1"/>
  <c r="E27" i="23" s="1"/>
  <c r="B15" i="23"/>
  <c r="D15" i="23" s="1"/>
  <c r="B13" i="23"/>
  <c r="D13" i="23" s="1"/>
  <c r="G11" i="23"/>
  <c r="B11" i="23" s="1"/>
  <c r="B692" i="22"/>
  <c r="G690" i="22"/>
  <c r="B690" i="22" s="1"/>
  <c r="G689" i="22"/>
  <c r="B689" i="22" s="1"/>
  <c r="D689" i="22" s="1"/>
  <c r="B688" i="22"/>
  <c r="E688" i="22" s="1"/>
  <c r="B685" i="22"/>
  <c r="E685" i="22" s="1"/>
  <c r="B682" i="22"/>
  <c r="D682" i="22" s="1"/>
  <c r="B681" i="22"/>
  <c r="D681" i="22" s="1"/>
  <c r="G680" i="22"/>
  <c r="B680" i="22"/>
  <c r="G679" i="22"/>
  <c r="B679" i="22" s="1"/>
  <c r="D679" i="22" s="1"/>
  <c r="G676" i="22"/>
  <c r="B653" i="22"/>
  <c r="G651" i="22"/>
  <c r="B651" i="22" s="1"/>
  <c r="D651" i="22" s="1"/>
  <c r="G650" i="22"/>
  <c r="B649" i="22"/>
  <c r="E649" i="22" s="1"/>
  <c r="B646" i="22"/>
  <c r="E646" i="22" s="1"/>
  <c r="E654" i="22" s="1"/>
  <c r="D643" i="22"/>
  <c r="B643" i="22"/>
  <c r="B642" i="22"/>
  <c r="D642" i="22" s="1"/>
  <c r="G641" i="22"/>
  <c r="G640" i="22"/>
  <c r="B640" i="22" s="1"/>
  <c r="D640" i="22" s="1"/>
  <c r="G637" i="22"/>
  <c r="B617" i="22"/>
  <c r="G615" i="22"/>
  <c r="G614" i="22"/>
  <c r="B614" i="22" s="1"/>
  <c r="D614" i="22" s="1"/>
  <c r="B613" i="22"/>
  <c r="E613" i="22" s="1"/>
  <c r="B610" i="22"/>
  <c r="E610" i="22" s="1"/>
  <c r="B607" i="22"/>
  <c r="D607" i="22" s="1"/>
  <c r="B606" i="22"/>
  <c r="D606" i="22" s="1"/>
  <c r="G605" i="22"/>
  <c r="G604" i="22"/>
  <c r="B604" i="22" s="1"/>
  <c r="D604" i="22" s="1"/>
  <c r="G601" i="22"/>
  <c r="G602" i="22" s="1"/>
  <c r="B583" i="22"/>
  <c r="G581" i="22"/>
  <c r="G580" i="22"/>
  <c r="B580" i="22" s="1"/>
  <c r="D580" i="22" s="1"/>
  <c r="B579" i="22"/>
  <c r="E579" i="22" s="1"/>
  <c r="B576" i="22"/>
  <c r="E576" i="22" s="1"/>
  <c r="B573" i="22"/>
  <c r="D573" i="22" s="1"/>
  <c r="B572" i="22"/>
  <c r="D572" i="22" s="1"/>
  <c r="G571" i="22"/>
  <c r="G570" i="22"/>
  <c r="G567" i="22"/>
  <c r="G568" i="22" s="1"/>
  <c r="G584" i="22" s="1"/>
  <c r="B547" i="22"/>
  <c r="G545" i="22"/>
  <c r="B545" i="22" s="1"/>
  <c r="G544" i="22"/>
  <c r="B544" i="22" s="1"/>
  <c r="D544" i="22" s="1"/>
  <c r="B543" i="22"/>
  <c r="E543" i="22" s="1"/>
  <c r="B540" i="22"/>
  <c r="E540" i="22" s="1"/>
  <c r="B537" i="22"/>
  <c r="D537" i="22" s="1"/>
  <c r="B536" i="22"/>
  <c r="D536" i="22" s="1"/>
  <c r="G535" i="22"/>
  <c r="G534" i="22"/>
  <c r="B534" i="22" s="1"/>
  <c r="G531" i="22"/>
  <c r="G532" i="22" s="1"/>
  <c r="B512" i="22"/>
  <c r="G510" i="22"/>
  <c r="B510" i="22"/>
  <c r="G509" i="22"/>
  <c r="B509" i="22" s="1"/>
  <c r="D509" i="22" s="1"/>
  <c r="B508" i="22"/>
  <c r="E508" i="22" s="1"/>
  <c r="B505" i="22"/>
  <c r="E505" i="22" s="1"/>
  <c r="B502" i="22"/>
  <c r="D502" i="22" s="1"/>
  <c r="B501" i="22"/>
  <c r="D501" i="22" s="1"/>
  <c r="G500" i="22"/>
  <c r="G499" i="22"/>
  <c r="G496" i="22"/>
  <c r="G497" i="22" s="1"/>
  <c r="B478" i="22"/>
  <c r="G476" i="22"/>
  <c r="B476" i="22" s="1"/>
  <c r="G475" i="22"/>
  <c r="B475" i="22" s="1"/>
  <c r="D475" i="22" s="1"/>
  <c r="B474" i="22"/>
  <c r="E474" i="22" s="1"/>
  <c r="B471" i="22"/>
  <c r="E471" i="22" s="1"/>
  <c r="B468" i="22"/>
  <c r="D468" i="22" s="1"/>
  <c r="B467" i="22"/>
  <c r="D467" i="22" s="1"/>
  <c r="G466" i="22"/>
  <c r="G465" i="22"/>
  <c r="G462" i="22"/>
  <c r="G463" i="22" s="1"/>
  <c r="B439" i="22"/>
  <c r="B437" i="22"/>
  <c r="D437" i="22" s="1"/>
  <c r="B436" i="22"/>
  <c r="D436" i="22" s="1"/>
  <c r="E435" i="22"/>
  <c r="E432" i="22"/>
  <c r="E431" i="22"/>
  <c r="B429" i="22"/>
  <c r="D429" i="22" s="1"/>
  <c r="B428" i="22"/>
  <c r="D428" i="22" s="1"/>
  <c r="B427" i="22"/>
  <c r="B426" i="22"/>
  <c r="D426" i="22" s="1"/>
  <c r="G424" i="22"/>
  <c r="B397" i="22"/>
  <c r="B395" i="22"/>
  <c r="D395" i="22" s="1"/>
  <c r="E393" i="22"/>
  <c r="B390" i="22"/>
  <c r="E390" i="22" s="1"/>
  <c r="E389" i="22"/>
  <c r="B387" i="22"/>
  <c r="D387" i="22" s="1"/>
  <c r="B386" i="22"/>
  <c r="D386" i="22" s="1"/>
  <c r="B384" i="22"/>
  <c r="D384" i="22" s="1"/>
  <c r="G382" i="22"/>
  <c r="G398" i="22" s="1"/>
  <c r="B361" i="22"/>
  <c r="B359" i="22"/>
  <c r="D359" i="22" s="1"/>
  <c r="E357" i="22"/>
  <c r="B354" i="22"/>
  <c r="E354" i="22" s="1"/>
  <c r="E353" i="22"/>
  <c r="B351" i="22"/>
  <c r="D351" i="22" s="1"/>
  <c r="B350" i="22"/>
  <c r="D350" i="22" s="1"/>
  <c r="B349" i="22"/>
  <c r="B348" i="22"/>
  <c r="D348" i="22" s="1"/>
  <c r="G346" i="22"/>
  <c r="B323" i="22"/>
  <c r="B321" i="22"/>
  <c r="D321" i="22" s="1"/>
  <c r="B316" i="22"/>
  <c r="E316" i="22" s="1"/>
  <c r="E315" i="22"/>
  <c r="B313" i="22"/>
  <c r="D313" i="22" s="1"/>
  <c r="B312" i="22"/>
  <c r="D312" i="22" s="1"/>
  <c r="G308" i="22"/>
  <c r="B289" i="22"/>
  <c r="B287" i="22"/>
  <c r="D287" i="22" s="1"/>
  <c r="B286" i="22"/>
  <c r="D286" i="22" s="1"/>
  <c r="B282" i="22"/>
  <c r="E282" i="22" s="1"/>
  <c r="E281" i="22"/>
  <c r="B279" i="22"/>
  <c r="D279" i="22" s="1"/>
  <c r="B278" i="22"/>
  <c r="D278" i="22" s="1"/>
  <c r="B276" i="22"/>
  <c r="D276" i="22" s="1"/>
  <c r="G274" i="22"/>
  <c r="B252" i="22"/>
  <c r="B250" i="22"/>
  <c r="D250" i="22" s="1"/>
  <c r="B245" i="22"/>
  <c r="E245" i="22" s="1"/>
  <c r="E244" i="22"/>
  <c r="B242" i="22"/>
  <c r="D242" i="22" s="1"/>
  <c r="B241" i="22"/>
  <c r="D241" i="22" s="1"/>
  <c r="B239" i="22"/>
  <c r="D239" i="22" s="1"/>
  <c r="G237" i="22"/>
  <c r="B215" i="22"/>
  <c r="B213" i="22"/>
  <c r="D213" i="22" s="1"/>
  <c r="B211" i="22"/>
  <c r="B208" i="22"/>
  <c r="E208" i="22" s="1"/>
  <c r="E216" i="22" s="1"/>
  <c r="B204" i="22"/>
  <c r="D204" i="22" s="1"/>
  <c r="B203" i="22"/>
  <c r="D203" i="22" s="1"/>
  <c r="G200" i="22"/>
  <c r="B200" i="22" s="1"/>
  <c r="B199" i="22" s="1"/>
  <c r="B179" i="22"/>
  <c r="B175" i="22"/>
  <c r="E175" i="22" s="1"/>
  <c r="E172" i="22"/>
  <c r="B172" i="22"/>
  <c r="B169" i="22"/>
  <c r="D169" i="22" s="1"/>
  <c r="D168" i="22"/>
  <c r="B168" i="22"/>
  <c r="G164" i="22"/>
  <c r="B164" i="22" s="1"/>
  <c r="B140" i="22"/>
  <c r="B136" i="22"/>
  <c r="E136" i="22" s="1"/>
  <c r="B133" i="22"/>
  <c r="E133" i="22" s="1"/>
  <c r="B130" i="22"/>
  <c r="D130" i="22" s="1"/>
  <c r="B129" i="22"/>
  <c r="D129" i="22" s="1"/>
  <c r="I128" i="22"/>
  <c r="B128" i="22"/>
  <c r="B127" i="22"/>
  <c r="D127" i="22" s="1"/>
  <c r="G125" i="22"/>
  <c r="B101" i="22"/>
  <c r="B98" i="22"/>
  <c r="D98" i="22" s="1"/>
  <c r="B97" i="22"/>
  <c r="E97" i="22" s="1"/>
  <c r="E94" i="22"/>
  <c r="B94" i="22"/>
  <c r="B91" i="22"/>
  <c r="D91" i="22" s="1"/>
  <c r="B90" i="22"/>
  <c r="D90" i="22" s="1"/>
  <c r="B89" i="22"/>
  <c r="D89" i="22" s="1"/>
  <c r="B88" i="22"/>
  <c r="D88" i="22" s="1"/>
  <c r="G86" i="22"/>
  <c r="B65" i="22"/>
  <c r="B62" i="22"/>
  <c r="D62" i="22" s="1"/>
  <c r="B61" i="22"/>
  <c r="E61" i="22" s="1"/>
  <c r="B58" i="22"/>
  <c r="E58" i="22" s="1"/>
  <c r="B55" i="22"/>
  <c r="D55" i="22" s="1"/>
  <c r="B54" i="22"/>
  <c r="D54" i="22" s="1"/>
  <c r="B53" i="22"/>
  <c r="D53" i="22" s="1"/>
  <c r="D52" i="22"/>
  <c r="B52" i="22"/>
  <c r="G50" i="22"/>
  <c r="B27" i="22"/>
  <c r="D25" i="22"/>
  <c r="B25" i="22"/>
  <c r="B24" i="22"/>
  <c r="D24" i="22" s="1"/>
  <c r="B23" i="22"/>
  <c r="E23" i="22" s="1"/>
  <c r="B20" i="22"/>
  <c r="E20" i="22" s="1"/>
  <c r="B17" i="22"/>
  <c r="D17" i="22" s="1"/>
  <c r="B16" i="22"/>
  <c r="D16" i="22" s="1"/>
  <c r="B15" i="22"/>
  <c r="D15" i="22" s="1"/>
  <c r="G12" i="22"/>
  <c r="D606" i="23" l="1"/>
  <c r="G559" i="23"/>
  <c r="B559" i="23" s="1"/>
  <c r="B558" i="23" s="1"/>
  <c r="D486" i="23"/>
  <c r="B60" i="23"/>
  <c r="D60" i="23" s="1"/>
  <c r="B138" i="22"/>
  <c r="D138" i="22" s="1"/>
  <c r="E102" i="22"/>
  <c r="E575" i="23"/>
  <c r="E479" i="22"/>
  <c r="B499" i="22"/>
  <c r="D499" i="22" s="1"/>
  <c r="G638" i="22"/>
  <c r="G654" i="22" s="1"/>
  <c r="E693" i="22"/>
  <c r="E584" i="22"/>
  <c r="E618" i="22"/>
  <c r="G362" i="22"/>
  <c r="B249" i="22"/>
  <c r="D249" i="22" s="1"/>
  <c r="B278" i="23"/>
  <c r="D278" i="23" s="1"/>
  <c r="E282" i="23"/>
  <c r="G548" i="22"/>
  <c r="B532" i="22"/>
  <c r="I370" i="23"/>
  <c r="B367" i="23"/>
  <c r="B366" i="23" s="1"/>
  <c r="G513" i="22"/>
  <c r="B497" i="22"/>
  <c r="G216" i="22"/>
  <c r="E290" i="22"/>
  <c r="B310" i="22"/>
  <c r="D310" i="22" s="1"/>
  <c r="E362" i="22"/>
  <c r="E440" i="22"/>
  <c r="B465" i="22"/>
  <c r="D465" i="22" s="1"/>
  <c r="D534" i="22"/>
  <c r="E548" i="22"/>
  <c r="B568" i="22"/>
  <c r="G618" i="22"/>
  <c r="D234" i="23"/>
  <c r="E248" i="23"/>
  <c r="D302" i="23"/>
  <c r="B412" i="23"/>
  <c r="D412" i="23" s="1"/>
  <c r="G465" i="23"/>
  <c r="D559" i="23"/>
  <c r="D558" i="23" s="1"/>
  <c r="D562" i="23"/>
  <c r="D571" i="23"/>
  <c r="K676" i="23"/>
  <c r="E688" i="23"/>
  <c r="D545" i="22"/>
  <c r="G141" i="22"/>
  <c r="E253" i="22"/>
  <c r="B311" i="22"/>
  <c r="D311" i="22" s="1"/>
  <c r="E398" i="22"/>
  <c r="B466" i="22"/>
  <c r="D466" i="22" s="1"/>
  <c r="D510" i="22"/>
  <c r="B570" i="22"/>
  <c r="D570" i="22" s="1"/>
  <c r="D680" i="22"/>
  <c r="B133" i="23"/>
  <c r="D133" i="23" s="1"/>
  <c r="B244" i="23"/>
  <c r="D244" i="23" s="1"/>
  <c r="B245" i="23"/>
  <c r="D245" i="23" s="1"/>
  <c r="B303" i="23"/>
  <c r="D303" i="23" s="1"/>
  <c r="B410" i="23"/>
  <c r="D410" i="23" s="1"/>
  <c r="D452" i="23"/>
  <c r="B454" i="23"/>
  <c r="D454" i="23" s="1"/>
  <c r="B485" i="23"/>
  <c r="D485" i="23" s="1"/>
  <c r="D496" i="23"/>
  <c r="D677" i="23"/>
  <c r="E513" i="22"/>
  <c r="E66" i="22"/>
  <c r="E324" i="22"/>
  <c r="B385" i="22"/>
  <c r="D385" i="22" s="1"/>
  <c r="G440" i="22"/>
  <c r="D476" i="22"/>
  <c r="B581" i="22"/>
  <c r="D581" i="22" s="1"/>
  <c r="B602" i="22"/>
  <c r="B601" i="22" s="1"/>
  <c r="B641" i="22"/>
  <c r="D641" i="22" s="1"/>
  <c r="D312" i="23"/>
  <c r="D369" i="23"/>
  <c r="D379" i="23"/>
  <c r="B562" i="23"/>
  <c r="D642" i="23"/>
  <c r="B166" i="22"/>
  <c r="D166" i="22" s="1"/>
  <c r="B205" i="22"/>
  <c r="G180" i="22"/>
  <c r="E141" i="22"/>
  <c r="E28" i="22"/>
  <c r="D141" i="23"/>
  <c r="D129" i="23"/>
  <c r="D128" i="23" s="1"/>
  <c r="G145" i="23"/>
  <c r="B47" i="23"/>
  <c r="G63" i="23"/>
  <c r="I63" i="23" s="1"/>
  <c r="G101" i="23"/>
  <c r="B304" i="23"/>
  <c r="D304" i="23" s="1"/>
  <c r="B331" i="23"/>
  <c r="D49" i="23"/>
  <c r="B85" i="23"/>
  <c r="D85" i="23" s="1"/>
  <c r="B176" i="23"/>
  <c r="D176" i="23" s="1"/>
  <c r="B235" i="23"/>
  <c r="D235" i="23" s="1"/>
  <c r="B268" i="23"/>
  <c r="D268" i="23" s="1"/>
  <c r="D332" i="23"/>
  <c r="B336" i="23"/>
  <c r="D336" i="23" s="1"/>
  <c r="G646" i="23"/>
  <c r="B630" i="23"/>
  <c r="G27" i="23"/>
  <c r="B231" i="23"/>
  <c r="B265" i="23"/>
  <c r="B299" i="23"/>
  <c r="I302" i="23"/>
  <c r="G315" i="23"/>
  <c r="B409" i="23"/>
  <c r="D409" i="23" s="1"/>
  <c r="B561" i="23"/>
  <c r="B572" i="23"/>
  <c r="D572" i="23" s="1"/>
  <c r="B594" i="23"/>
  <c r="G610" i="23"/>
  <c r="J610" i="23" s="1"/>
  <c r="I599" i="23"/>
  <c r="B10" i="23"/>
  <c r="D11" i="23"/>
  <c r="B14" i="23"/>
  <c r="D14" i="23" s="1"/>
  <c r="D98" i="23"/>
  <c r="D131" i="23"/>
  <c r="I132" i="23"/>
  <c r="D142" i="23"/>
  <c r="G180" i="23"/>
  <c r="B167" i="23"/>
  <c r="D167" i="23" s="1"/>
  <c r="D201" i="23"/>
  <c r="B236" i="23"/>
  <c r="D236" i="23" s="1"/>
  <c r="G348" i="23"/>
  <c r="B371" i="23"/>
  <c r="D371" i="23" s="1"/>
  <c r="I520" i="23"/>
  <c r="D517" i="23"/>
  <c r="B517" i="23"/>
  <c r="G533" i="23"/>
  <c r="B607" i="23"/>
  <c r="D607" i="23" s="1"/>
  <c r="B90" i="23"/>
  <c r="D90" i="23" s="1"/>
  <c r="D97" i="23"/>
  <c r="B145" i="23"/>
  <c r="C150" i="23" s="1"/>
  <c r="D134" i="23"/>
  <c r="B168" i="23"/>
  <c r="D168" i="23" s="1"/>
  <c r="I201" i="23"/>
  <c r="B198" i="23"/>
  <c r="D198" i="23" s="1"/>
  <c r="D211" i="23"/>
  <c r="I269" i="23"/>
  <c r="B407" i="23"/>
  <c r="G423" i="23"/>
  <c r="D164" i="23"/>
  <c r="I167" i="23"/>
  <c r="B177" i="23"/>
  <c r="D177" i="23" s="1"/>
  <c r="D232" i="23"/>
  <c r="I235" i="23"/>
  <c r="D266" i="23"/>
  <c r="D269" i="23"/>
  <c r="B270" i="23"/>
  <c r="D270" i="23" s="1"/>
  <c r="G282" i="23"/>
  <c r="D311" i="23"/>
  <c r="D370" i="23"/>
  <c r="D380" i="23"/>
  <c r="D420" i="23"/>
  <c r="G499" i="23"/>
  <c r="I486" i="23"/>
  <c r="D483" i="23"/>
  <c r="D519" i="23"/>
  <c r="D529" i="23"/>
  <c r="B564" i="23"/>
  <c r="D564" i="23" s="1"/>
  <c r="B596" i="23"/>
  <c r="D596" i="23" s="1"/>
  <c r="B635" i="23"/>
  <c r="D635" i="23" s="1"/>
  <c r="D301" i="23"/>
  <c r="D419" i="23"/>
  <c r="B495" i="23"/>
  <c r="D495" i="23" s="1"/>
  <c r="B599" i="23"/>
  <c r="D599" i="23" s="1"/>
  <c r="B632" i="23"/>
  <c r="D632" i="23" s="1"/>
  <c r="I635" i="23"/>
  <c r="E646" i="23"/>
  <c r="D271" i="23"/>
  <c r="B449" i="23"/>
  <c r="D461" i="23"/>
  <c r="D488" i="23"/>
  <c r="B522" i="23"/>
  <c r="D522" i="23" s="1"/>
  <c r="B530" i="23"/>
  <c r="D530" i="23" s="1"/>
  <c r="G575" i="23"/>
  <c r="D597" i="23"/>
  <c r="I674" i="23"/>
  <c r="I675" i="23"/>
  <c r="G672" i="23"/>
  <c r="D684" i="23"/>
  <c r="I12" i="22"/>
  <c r="G28" i="22"/>
  <c r="B12" i="22"/>
  <c r="D12" i="22" s="1"/>
  <c r="B163" i="22"/>
  <c r="D164" i="22"/>
  <c r="G66" i="22"/>
  <c r="G102" i="22"/>
  <c r="D128" i="22"/>
  <c r="D167" i="22"/>
  <c r="D202" i="22"/>
  <c r="B86" i="22"/>
  <c r="B125" i="22"/>
  <c r="D125" i="22" s="1"/>
  <c r="B216" i="22"/>
  <c r="C223" i="22" s="1"/>
  <c r="G253" i="22"/>
  <c r="B237" i="22"/>
  <c r="D237" i="22" s="1"/>
  <c r="G290" i="22"/>
  <c r="B274" i="22"/>
  <c r="D274" i="22" s="1"/>
  <c r="G324" i="22"/>
  <c r="B308" i="22"/>
  <c r="D308" i="22" s="1"/>
  <c r="G479" i="22"/>
  <c r="B463" i="22"/>
  <c r="B50" i="22"/>
  <c r="E180" i="22"/>
  <c r="D200" i="22"/>
  <c r="D205" i="22"/>
  <c r="B240" i="22"/>
  <c r="D240" i="22" s="1"/>
  <c r="D349" i="22"/>
  <c r="D427" i="22"/>
  <c r="B496" i="22"/>
  <c r="D497" i="22"/>
  <c r="B531" i="22"/>
  <c r="D532" i="22"/>
  <c r="B567" i="22"/>
  <c r="D568" i="22"/>
  <c r="D690" i="22"/>
  <c r="B277" i="22"/>
  <c r="D277" i="22" s="1"/>
  <c r="B320" i="22"/>
  <c r="D320" i="22" s="1"/>
  <c r="B346" i="22"/>
  <c r="D346" i="22" s="1"/>
  <c r="B358" i="22"/>
  <c r="D358" i="22" s="1"/>
  <c r="B382" i="22"/>
  <c r="B394" i="22"/>
  <c r="D394" i="22" s="1"/>
  <c r="B424" i="22"/>
  <c r="D424" i="22" s="1"/>
  <c r="B500" i="22"/>
  <c r="B513" i="22" s="1"/>
  <c r="C520" i="22" s="1"/>
  <c r="B535" i="22"/>
  <c r="B548" i="22" s="1"/>
  <c r="C555" i="22" s="1"/>
  <c r="B571" i="22"/>
  <c r="D571" i="22" s="1"/>
  <c r="B605" i="22"/>
  <c r="B615" i="22"/>
  <c r="D615" i="22" s="1"/>
  <c r="B638" i="22"/>
  <c r="D638" i="22" s="1"/>
  <c r="B650" i="22"/>
  <c r="D650" i="22" s="1"/>
  <c r="G677" i="22"/>
  <c r="J269" i="23" l="1"/>
  <c r="B180" i="22"/>
  <c r="C187" i="22" s="1"/>
  <c r="B575" i="23"/>
  <c r="C581" i="23" s="1"/>
  <c r="D367" i="23"/>
  <c r="D366" i="23" s="1"/>
  <c r="B618" i="22"/>
  <c r="C625" i="22" s="1"/>
  <c r="D602" i="22"/>
  <c r="D601" i="22" s="1"/>
  <c r="D145" i="23"/>
  <c r="D84" i="23"/>
  <c r="D101" i="23"/>
  <c r="B423" i="23"/>
  <c r="C428" i="23" s="1"/>
  <c r="B406" i="23"/>
  <c r="B202" i="23"/>
  <c r="D202" i="23" s="1"/>
  <c r="D533" i="23"/>
  <c r="D516" i="23"/>
  <c r="D27" i="23"/>
  <c r="D10" i="23"/>
  <c r="B372" i="23"/>
  <c r="D372" i="23" s="1"/>
  <c r="B237" i="23"/>
  <c r="B248" i="23" s="1"/>
  <c r="C253" i="23" s="1"/>
  <c r="B610" i="23"/>
  <c r="C616" i="23" s="1"/>
  <c r="B593" i="23"/>
  <c r="D561" i="23"/>
  <c r="D575" i="23" s="1"/>
  <c r="B210" i="23"/>
  <c r="D210" i="23" s="1"/>
  <c r="B46" i="23"/>
  <c r="B63" i="23"/>
  <c r="C69" i="23" s="1"/>
  <c r="D265" i="23"/>
  <c r="D282" i="23"/>
  <c r="D163" i="23"/>
  <c r="J575" i="23"/>
  <c r="B465" i="23"/>
  <c r="C470" i="23" s="1"/>
  <c r="B448" i="23"/>
  <c r="D449" i="23"/>
  <c r="B499" i="23"/>
  <c r="C504" i="23" s="1"/>
  <c r="G383" i="23"/>
  <c r="D231" i="23"/>
  <c r="D407" i="23"/>
  <c r="B169" i="23"/>
  <c r="B180" i="23" s="1"/>
  <c r="C185" i="23" s="1"/>
  <c r="D594" i="23"/>
  <c r="B282" i="23"/>
  <c r="C287" i="23" s="1"/>
  <c r="B337" i="23"/>
  <c r="B348" i="23" s="1"/>
  <c r="C353" i="23" s="1"/>
  <c r="D331" i="23"/>
  <c r="B27" i="23"/>
  <c r="C33" i="23" s="1"/>
  <c r="D197" i="23"/>
  <c r="B315" i="23"/>
  <c r="C320" i="23" s="1"/>
  <c r="B298" i="23"/>
  <c r="B646" i="23"/>
  <c r="C652" i="23" s="1"/>
  <c r="B629" i="23"/>
  <c r="J676" i="23"/>
  <c r="B672" i="23"/>
  <c r="D672" i="23" s="1"/>
  <c r="G688" i="23"/>
  <c r="I672" i="23"/>
  <c r="D482" i="23"/>
  <c r="D499" i="23"/>
  <c r="B197" i="23"/>
  <c r="B516" i="23"/>
  <c r="B533" i="23"/>
  <c r="C538" i="23" s="1"/>
  <c r="D299" i="23"/>
  <c r="D630" i="23"/>
  <c r="G248" i="23"/>
  <c r="B101" i="23"/>
  <c r="C107" i="23" s="1"/>
  <c r="B84" i="23"/>
  <c r="D47" i="23"/>
  <c r="D290" i="22"/>
  <c r="D273" i="22"/>
  <c r="D423" i="22"/>
  <c r="D440" i="22"/>
  <c r="D307" i="22"/>
  <c r="D324" i="22"/>
  <c r="G693" i="22"/>
  <c r="B677" i="22"/>
  <c r="D677" i="22" s="1"/>
  <c r="B345" i="22"/>
  <c r="B362" i="22"/>
  <c r="C369" i="22" s="1"/>
  <c r="B479" i="22"/>
  <c r="C486" i="22" s="1"/>
  <c r="B462" i="22"/>
  <c r="D637" i="22"/>
  <c r="D654" i="22"/>
  <c r="B49" i="22"/>
  <c r="B66" i="22"/>
  <c r="B73" i="22" s="1"/>
  <c r="D463" i="22"/>
  <c r="D605" i="22"/>
  <c r="D50" i="22"/>
  <c r="B637" i="22"/>
  <c r="B654" i="22"/>
  <c r="C661" i="22" s="1"/>
  <c r="B381" i="22"/>
  <c r="B398" i="22"/>
  <c r="C405" i="22" s="1"/>
  <c r="D567" i="22"/>
  <c r="D584" i="22"/>
  <c r="D496" i="22"/>
  <c r="B584" i="22"/>
  <c r="C591" i="22" s="1"/>
  <c r="D199" i="22"/>
  <c r="D216" i="22"/>
  <c r="D535" i="22"/>
  <c r="D548" i="22" s="1"/>
  <c r="D28" i="22"/>
  <c r="D11" i="22"/>
  <c r="D382" i="22"/>
  <c r="D500" i="22"/>
  <c r="D513" i="22" s="1"/>
  <c r="B124" i="22"/>
  <c r="B141" i="22"/>
  <c r="B148" i="22" s="1"/>
  <c r="B11" i="22"/>
  <c r="B28" i="22"/>
  <c r="B34" i="22" s="1"/>
  <c r="I15" i="22"/>
  <c r="I14" i="22"/>
  <c r="D345" i="22"/>
  <c r="D362" i="22"/>
  <c r="B440" i="22"/>
  <c r="C446" i="22" s="1"/>
  <c r="B423" i="22"/>
  <c r="D124" i="22"/>
  <c r="D141" i="22"/>
  <c r="B307" i="22"/>
  <c r="B324" i="22"/>
  <c r="C331" i="22" s="1"/>
  <c r="B253" i="22"/>
  <c r="C260" i="22" s="1"/>
  <c r="B236" i="22"/>
  <c r="B85" i="22"/>
  <c r="B102" i="22"/>
  <c r="B109" i="22" s="1"/>
  <c r="D180" i="22"/>
  <c r="D163" i="22"/>
  <c r="D86" i="22"/>
  <c r="D531" i="22"/>
  <c r="D253" i="22"/>
  <c r="D236" i="22"/>
  <c r="B290" i="22"/>
  <c r="C297" i="22" s="1"/>
  <c r="B273" i="22"/>
  <c r="B383" i="23" l="1"/>
  <c r="C388" i="23" s="1"/>
  <c r="D618" i="22"/>
  <c r="D383" i="23"/>
  <c r="D688" i="23"/>
  <c r="D671" i="23"/>
  <c r="D337" i="23"/>
  <c r="D348" i="23" s="1"/>
  <c r="D169" i="23"/>
  <c r="D180" i="23" s="1"/>
  <c r="D237" i="23"/>
  <c r="D248" i="23" s="1"/>
  <c r="B203" i="23"/>
  <c r="B214" i="23" s="1"/>
  <c r="C219" i="23" s="1"/>
  <c r="D63" i="23"/>
  <c r="D46" i="23"/>
  <c r="D629" i="23"/>
  <c r="D646" i="23"/>
  <c r="G214" i="23"/>
  <c r="B671" i="23"/>
  <c r="B688" i="23"/>
  <c r="B695" i="23" s="1"/>
  <c r="D448" i="23"/>
  <c r="D465" i="23"/>
  <c r="D315" i="23"/>
  <c r="D298" i="23"/>
  <c r="K659" i="23"/>
  <c r="K660" i="23" s="1"/>
  <c r="D610" i="23"/>
  <c r="D593" i="23"/>
  <c r="D406" i="23"/>
  <c r="D423" i="23"/>
  <c r="D381" i="22"/>
  <c r="D398" i="22"/>
  <c r="D462" i="22"/>
  <c r="D479" i="22"/>
  <c r="D66" i="22"/>
  <c r="D49" i="22"/>
  <c r="D676" i="22"/>
  <c r="D693" i="22"/>
  <c r="D102" i="22"/>
  <c r="D85" i="22"/>
  <c r="B693" i="22"/>
  <c r="C700" i="22" s="1"/>
  <c r="B676" i="22"/>
  <c r="D203" i="23" l="1"/>
  <c r="D214" i="23" s="1"/>
</calcChain>
</file>

<file path=xl/sharedStrings.xml><?xml version="1.0" encoding="utf-8"?>
<sst xmlns="http://schemas.openxmlformats.org/spreadsheetml/2006/main" count="2628" uniqueCount="113">
  <si>
    <t xml:space="preserve">детска градина/училище </t>
  </si>
  <si>
    <t>ЧОУ БЪДЕЩЕ ЕООД</t>
  </si>
  <si>
    <t>видове разходи</t>
  </si>
  <si>
    <t>Всичко:</t>
  </si>
  <si>
    <t>за осигуряване и поддържане на материално-техническата база</t>
  </si>
  <si>
    <t>целеви средства по чл. 283, ал. 3 от ЗПУО</t>
  </si>
  <si>
    <t>(к. 2 + к. 3 + к. 4 + к. 5 + к. 6 )</t>
  </si>
  <si>
    <t>1. Възнаграждения на педагогическите специалисти, вкл. задължителни осигурителни вноски от работодател</t>
  </si>
  <si>
    <t>*</t>
  </si>
  <si>
    <t xml:space="preserve"> – назначени с трудов договор</t>
  </si>
  <si>
    <t xml:space="preserve"> – наети по ЗЗД</t>
  </si>
  <si>
    <t>2. Възнаграждения на непедагогически персонал, вкл. задължителни осигурителни вноски от работодател</t>
  </si>
  <si>
    <t>3. Разходи за персонал - облекло, СБКО, обезщетения по КТ  и др.</t>
  </si>
  <si>
    <t xml:space="preserve">4. Разходи за вода, горива, енергия </t>
  </si>
  <si>
    <t>5. Разходи за материали и консумативи</t>
  </si>
  <si>
    <t>6. Разходи за храна в задължителното предучилищно образование</t>
  </si>
  <si>
    <t>7. Разходи за наем</t>
  </si>
  <si>
    <t>8. Разходи за текущи ремонти</t>
  </si>
  <si>
    <t>9. Разходи за основни ремонти</t>
  </si>
  <si>
    <t>10. Разходи за материални активи, които нямат характер на дълготрайни</t>
  </si>
  <si>
    <t>11. Амортизация на дълготрайни материални и нематериални активи</t>
  </si>
  <si>
    <t>12. Разходи за външни услуги без т. 4 и 6 - 9</t>
  </si>
  <si>
    <t>13. Финансови разходи, данъци, такси</t>
  </si>
  <si>
    <t>14. Разходи по чл. 283, ал. 3 от ЗПУО</t>
  </si>
  <si>
    <t>15. Други разходи, невключени в т. 1 - 14</t>
  </si>
  <si>
    <t>Всичко разходи:</t>
  </si>
  <si>
    <r>
      <t>Забележки:</t>
    </r>
    <r>
      <rPr>
        <sz val="11"/>
        <color theme="1"/>
        <rFont val="Calibri"/>
        <family val="2"/>
        <charset val="204"/>
        <scheme val="minor"/>
      </rPr>
      <t xml:space="preserve"> 1.Разходите по т. 15 от да се опишат по елементи като приложение към справката;</t>
    </r>
  </si>
  <si>
    <t xml:space="preserve">                          2. При попълване на т. 1, следва да се съобрази изискването на чл. 117, ал. 1</t>
  </si>
  <si>
    <t xml:space="preserve">                          3. Средствата по ред 25 от к. 2 и 3 не могат да надвишават предоставените такива за сметка на държавния бюджет</t>
  </si>
  <si>
    <t>Приложение № 9 към чл. 118, ал. 2, т.2</t>
  </si>
  <si>
    <t>Разходи за дейностите по възпитание и обучение на децата и учениците, в т. ч.:</t>
  </si>
  <si>
    <t>ЧЕГ СТОЯН САРИЕВ ЕООД</t>
  </si>
  <si>
    <t>от дейности финансирани от платени услуги за дейности извън
учебния план
срещу заплащане, които са извън</t>
  </si>
  <si>
    <t>от дейности срещу заплащане, които са извън програмната система/учебния план</t>
  </si>
  <si>
    <t xml:space="preserve">възстановени от родителите съгласно методиката по чл.
132
</t>
  </si>
  <si>
    <t>финансирани от други източници, без средствата от държавния бюджет</t>
  </si>
  <si>
    <t xml:space="preserve">за обучението по програмната система/учебен план за дейности по задължителното предучилищно и училищно образование по
стандартите за финансиране
</t>
  </si>
  <si>
    <t>(к. 2 + к. 3 + к. 4 +              к. 5 + к. 6 )</t>
  </si>
  <si>
    <t>Справка за извършените разходи за дейностите по възпитание и обучение на децата и учениците към 30.09.2022г.</t>
  </si>
  <si>
    <t>Справка за извършените разходи за дейностите по възпитание и обучение на децата и учениците към 30.06.2022г.</t>
  </si>
  <si>
    <t>финансиране към 30.09.2022</t>
  </si>
  <si>
    <t>финансиране към 30.06.2022</t>
  </si>
  <si>
    <t>финансиране към 31.12.2021</t>
  </si>
  <si>
    <t>Справка за извършените разходи за дейностите по възпитание и обучение на децата и учениците към 31.12.2022г.</t>
  </si>
  <si>
    <t>Справка за извършените разходи за дейностите по възпитание и обучение на децата и учениците към 31.07.2022г.</t>
  </si>
  <si>
    <t>финансиране към 31.07.2022</t>
  </si>
  <si>
    <t>Справка за извършените разходи за дейностите по възпитание и обучение на децата и учениците към 31.08.2022г.</t>
  </si>
  <si>
    <t>Справка за извършените разходи за дейностите по възпитание и обучение на децата и учениците към 31.10.2022г.</t>
  </si>
  <si>
    <t>финансиране към 31.10.2022</t>
  </si>
  <si>
    <t>Справка за извършените разходи за дейностите по възпитание и обучение на децата и учениците към 30.11.2022г.</t>
  </si>
  <si>
    <t>финансиране към 30.11.2022</t>
  </si>
  <si>
    <t>Справка за извършените разходи за дейностите по възпитание и обучение на децата и учениците към  06.2022г.</t>
  </si>
  <si>
    <t>Справка за извършените разходи за дейностите по възпитание и обучение на децата и учениците към  07.2022г.</t>
  </si>
  <si>
    <t>ФИНАНСИРАНЕ 31.07.2022</t>
  </si>
  <si>
    <t>ФИНАНСИРАНЕ 30.06.2022</t>
  </si>
  <si>
    <t>Справка за извършените разходи за дейностите по възпитание и обучение на децата и учениците към  08.2022г.</t>
  </si>
  <si>
    <t>ФИНАНСИРАНЕ 31.08.2022</t>
  </si>
  <si>
    <t>финансиране  30.09.2022</t>
  </si>
  <si>
    <t>финансиране  31.10.2022</t>
  </si>
  <si>
    <t>финансиране  30.11.2022</t>
  </si>
  <si>
    <t>финансиране 31.12.2022</t>
  </si>
  <si>
    <t>финансирани със средства от държавния бюджет</t>
  </si>
  <si>
    <t xml:space="preserve">3. Брой на назначените педагогически специалисти  8.5 щ. бр., в т.ч. учители 7 щ. бр.; директор и заместник-директори 1.5 щ. бр.; други длъжности на педагогически специалисти: 0 щ. бр.
    Забележки:
    1. Разходите по т. 15 да се опишат по елементи като приложение към справката.
    2. При попълване на т. 1 от таблицата следва да се съобрази изискването на чл. 117, ал. 1.
    3. Средствата по ред "Всичко разходи" от колони 2 и 3 не могат да надвишават предоставените средства за сметка на държавния бюджет.
    4. Броят на назначения персонал се попълва към датата на представяне на справката в МОН.
</t>
  </si>
  <si>
    <t xml:space="preserve">    3. Брой на назначените педагогически специалисти 8.5щ. бр., в т.ч. учители 7 щ. бр.; директор и заместник-директори 1.5 щ. бр.; други длъжности на педагогически специалисти: 0 щ. бр.
    Забележки:
    1. Разходите по т. 15 да се опишат по елементи като приложение към справката.
    2. При попълване на т. 1 от таблицата следва да се съобрази изискването на чл. 117, ал. 1.
    3. Средствата по ред "Всичко разходи" от колони 2 и 3 не могат да надвишават предоставените средства за сметка на държавния бюджет.
    4. Броят на назначения персонал се попълва към датата на представяне на справката в МОН.
</t>
  </si>
  <si>
    <t>Справка за извършените разходи за дейностите по възпитание и обучение на децата и учениците към 31.12.2024г.</t>
  </si>
  <si>
    <t>Справка за извършените разходи за дейностите по възпитание и обучение на децата и учениците към 31.01.2025г.</t>
  </si>
  <si>
    <t>Справка за извършените разходи за дейностите по възпитание и обучение на децата и учениците към  01.2025г.</t>
  </si>
  <si>
    <t>ФИНАНСИРАНЕ 31.01.2025</t>
  </si>
  <si>
    <t>Справка за извършените разходи за дейностите по възпитание и обучение на децата и учениците към  02.2025г.</t>
  </si>
  <si>
    <t>ФИНАНСИРАНЕ 28.02.2025</t>
  </si>
  <si>
    <t>Справка за извършените разходи за дейностите по възпитание и обучение на децата и учениците към  03.2025г.</t>
  </si>
  <si>
    <t>Справка за извършените разходи за дейностите по възпитание и обучение на децата и учениците към  04.2025г.</t>
  </si>
  <si>
    <t>ФИНАНСИРАНЕ 31.03.2025</t>
  </si>
  <si>
    <t>ФИНАНСИРАНЕ 30.04.2025</t>
  </si>
  <si>
    <t>Справка за извършените разходи за дейностите по възпитание и обучение на децата и учениците към  05.2025г.</t>
  </si>
  <si>
    <t>ФИНАНСИРАНЕ 31.05.2025</t>
  </si>
  <si>
    <t>Справка за извършените разходи за дейностите по възпитание и обучение на децата и учениците към  06.2025г.</t>
  </si>
  <si>
    <t>ФИНАНСИРАНЕ  30.06.2025</t>
  </si>
  <si>
    <t>финансиране към 31.01.2025</t>
  </si>
  <si>
    <t>Справка за извършените разходи за дейностите по възпитание и обучение на децата и учениците към 28.02.2025г.</t>
  </si>
  <si>
    <t>финансиране към 28.02.2025</t>
  </si>
  <si>
    <t>Справка за извършените разходи за дейностите по възпитание и обучение на децата и учениците към 31.03.2025г.</t>
  </si>
  <si>
    <t>финансиране към 31.03.2025</t>
  </si>
  <si>
    <t>Справка за извършените разходи за дейностите по възпитание и обучение на децата и учениците към 30.04.2025г.</t>
  </si>
  <si>
    <t>финансиране към 30.04.2025</t>
  </si>
  <si>
    <t>Справка за извършените разходи за дейностите по възпитание и обучение на децата и учениците към 31.05.2025г.</t>
  </si>
  <si>
    <t>финансиране към 31.05.2025</t>
  </si>
  <si>
    <t>Справка за извършените разходи за дейностите по възпитание и обучение на децата и учениците към 30.06.2025г.</t>
  </si>
  <si>
    <t>финансиране към 30.06.2025</t>
  </si>
  <si>
    <t>Справка за извършените разходи за дейностите по възпитание и обучение на децата и учениците към  07.2025г.</t>
  </si>
  <si>
    <t>ФИНАНСИРАНЕ  31.07.2025</t>
  </si>
  <si>
    <t>Справка за извършените разходи за дейностите по възпитание и обучение на децата и учениците към  08.2025г.</t>
  </si>
  <si>
    <t>ФИНАНСИРАНЕ  31.08.2025</t>
  </si>
  <si>
    <t>Справка за извършените разходи за дейностите по възпитание и обучение на децата и учениците към  09.2025г.</t>
  </si>
  <si>
    <t>ФИНАНСИРАНЕ  30.09.2025</t>
  </si>
  <si>
    <t>Справка за извършените разходи за дейностите по възпитание и обучение на децата и учениците към  10.2025г.</t>
  </si>
  <si>
    <t>ФИНАНСИРАНЕ  31.10.2025</t>
  </si>
  <si>
    <t>Справка за извършените разходи за дейностите по възпитание и обучение на децата и учениците към 31.07.2025г.</t>
  </si>
  <si>
    <t>финансиране към 31.07.2025</t>
  </si>
  <si>
    <t>Справка за извършените разходи за дейностите по възпитание и обучение на децата и учениците към 31.08.2025г.</t>
  </si>
  <si>
    <t>финансиране към 31.08.2025</t>
  </si>
  <si>
    <t>Справка за извършените разходи за дейностите по възпитание и обучение на децата и учениците към 30.09.2025г.</t>
  </si>
  <si>
    <t>финансиране към 30.09.2025</t>
  </si>
  <si>
    <t>Справка за извършените разходи за дейностите по възпитание и обучение на децата и учениците към 31.10.2025г.</t>
  </si>
  <si>
    <t>финансиране към 31.10.2025</t>
  </si>
  <si>
    <t>Справка за извършените разходи за дейностите по възпитание и обучение на децата и учениците към 30.11.2025г.</t>
  </si>
  <si>
    <t>Справка за извършените разходи за дейностите по възпитание и обучение на децата и учениците към  11.2025г.</t>
  </si>
  <si>
    <t>ФИНАНСИРАНЕ  30.11.2025</t>
  </si>
  <si>
    <t>Справка за извършените разходи за дейностите по възпитание и обучение на децата и учениците към  12.2025г.</t>
  </si>
  <si>
    <t>ФИНАНСИРАНЕ  31.12.2025</t>
  </si>
  <si>
    <t>финансиране към 30.11.2025</t>
  </si>
  <si>
    <t>Справка за извършените разходи за дейностите по възпитание и обучение на децата и учениците към 31.12.2025г.</t>
  </si>
  <si>
    <t>финансиране към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</si>
</sst>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8" fillId="0" borderId="2" xfId="0" applyNumberFormat="1" applyFont="1" applyBorder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vertical="center" wrapText="1"/>
    </xf>
    <xf numFmtId="1" fontId="0" fillId="0" borderId="0" xfId="0" applyNumberFormat="1"/>
    <xf numFmtId="1" fontId="9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/>
    <xf numFmtId="1" fontId="0" fillId="0" borderId="10" xfId="0" applyNumberFormat="1" applyBorder="1"/>
    <xf numFmtId="1" fontId="9" fillId="0" borderId="1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0" fillId="2" borderId="0" xfId="0" applyFill="1"/>
    <xf numFmtId="1" fontId="0" fillId="2" borderId="0" xfId="0" applyNumberFormat="1" applyFill="1"/>
    <xf numFmtId="1" fontId="0" fillId="0" borderId="0" xfId="0" applyNumberFormat="1" applyBorder="1"/>
    <xf numFmtId="0" fontId="0" fillId="0" borderId="0" xfId="0" applyBorder="1"/>
    <xf numFmtId="1" fontId="4" fillId="0" borderId="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center"/>
    </xf>
    <xf numFmtId="0" fontId="12" fillId="2" borderId="0" xfId="0" applyFont="1" applyFill="1"/>
    <xf numFmtId="1" fontId="12" fillId="2" borderId="0" xfId="0" applyNumberFormat="1" applyFont="1" applyFill="1"/>
    <xf numFmtId="1" fontId="12" fillId="0" borderId="0" xfId="0" applyNumberFormat="1" applyFont="1" applyBorder="1"/>
    <xf numFmtId="0" fontId="9" fillId="0" borderId="3" xfId="0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vertical="center" wrapText="1"/>
    </xf>
    <xf numFmtId="0" fontId="8" fillId="0" borderId="0" xfId="0" applyFont="1"/>
    <xf numFmtId="1" fontId="8" fillId="0" borderId="0" xfId="0" applyNumberFormat="1" applyFont="1"/>
    <xf numFmtId="1" fontId="8" fillId="0" borderId="0" xfId="0" applyNumberFormat="1" applyFont="1" applyAlignment="1">
      <alignment vertical="center"/>
    </xf>
    <xf numFmtId="1" fontId="9" fillId="0" borderId="24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vertical="center"/>
    </xf>
    <xf numFmtId="1" fontId="8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1" fontId="8" fillId="0" borderId="6" xfId="0" applyNumberFormat="1" applyFont="1" applyBorder="1"/>
    <xf numFmtId="1" fontId="8" fillId="0" borderId="8" xfId="0" applyNumberFormat="1" applyFont="1" applyBorder="1"/>
    <xf numFmtId="1" fontId="9" fillId="0" borderId="6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" fontId="9" fillId="0" borderId="7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vertical="center" wrapText="1"/>
    </xf>
    <xf numFmtId="1" fontId="8" fillId="0" borderId="6" xfId="0" applyNumberFormat="1" applyFont="1" applyBorder="1" applyAlignment="1">
      <alignment vertical="center" wrapText="1"/>
    </xf>
    <xf numFmtId="1" fontId="8" fillId="0" borderId="8" xfId="0" applyNumberFormat="1" applyFont="1" applyBorder="1" applyAlignment="1">
      <alignment vertical="center" wrapText="1"/>
    </xf>
    <xf numFmtId="1" fontId="10" fillId="0" borderId="0" xfId="0" applyNumberFormat="1" applyFont="1" applyAlignment="1">
      <alignment horizontal="center" vertical="center"/>
    </xf>
    <xf numFmtId="0" fontId="8" fillId="0" borderId="0" xfId="0" applyFont="1"/>
    <xf numFmtId="1" fontId="8" fillId="0" borderId="0" xfId="0" applyNumberFormat="1" applyFont="1"/>
    <xf numFmtId="1" fontId="8" fillId="0" borderId="0" xfId="0" applyNumberFormat="1" applyFont="1" applyAlignment="1">
      <alignment vertical="center"/>
    </xf>
    <xf numFmtId="1" fontId="5" fillId="0" borderId="6" xfId="0" applyNumberFormat="1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" fontId="4" fillId="0" borderId="0" xfId="0" applyNumberFormat="1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 wrapText="1"/>
    </xf>
    <xf numFmtId="1" fontId="6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9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1" fontId="9" fillId="0" borderId="24" xfId="0" applyNumberFormat="1" applyFont="1" applyBorder="1" applyAlignment="1">
      <alignment horizontal="center" vertical="center" wrapText="1"/>
    </xf>
    <xf numFmtId="1" fontId="9" fillId="0" borderId="25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1" fontId="9" fillId="0" borderId="18" xfId="0" applyNumberFormat="1" applyFont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vertical="center" wrapText="1"/>
    </xf>
    <xf numFmtId="1" fontId="8" fillId="0" borderId="15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0"/>
  <sheetViews>
    <sheetView tabSelected="1" topLeftCell="A686" workbookViewId="0">
      <selection activeCell="J313" sqref="J313"/>
    </sheetView>
  </sheetViews>
  <sheetFormatPr defaultRowHeight="15" x14ac:dyDescent="0.25"/>
  <cols>
    <col min="1" max="1" width="34.140625" customWidth="1"/>
    <col min="2" max="2" width="26.7109375" style="9" customWidth="1"/>
    <col min="3" max="3" width="15.28515625" style="9" customWidth="1"/>
    <col min="4" max="4" width="19.42578125" style="9" customWidth="1"/>
    <col min="5" max="5" width="17.28515625" style="9" customWidth="1"/>
    <col min="6" max="6" width="10.42578125" style="9" customWidth="1"/>
    <col min="7" max="7" width="12.7109375" style="9" customWidth="1"/>
    <col min="8" max="8" width="7.5703125" style="9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29"/>
      <c r="B3" s="30"/>
      <c r="C3" s="30"/>
      <c r="D3" s="30"/>
      <c r="E3" s="56" t="s">
        <v>29</v>
      </c>
      <c r="F3" s="56"/>
      <c r="G3" s="56"/>
      <c r="H3" s="56"/>
    </row>
    <row r="4" spans="1:9" x14ac:dyDescent="0.25">
      <c r="A4" s="57"/>
      <c r="B4" s="58"/>
      <c r="C4" s="58"/>
      <c r="D4" s="59"/>
      <c r="E4" s="59" t="s">
        <v>0</v>
      </c>
      <c r="F4" s="59"/>
      <c r="G4" s="59"/>
      <c r="H4" s="59"/>
    </row>
    <row r="5" spans="1:9" x14ac:dyDescent="0.25">
      <c r="A5" s="57"/>
      <c r="B5" s="58"/>
      <c r="C5" s="58"/>
      <c r="D5" s="59"/>
      <c r="E5" s="59" t="s">
        <v>1</v>
      </c>
      <c r="F5" s="59"/>
      <c r="G5" s="59"/>
      <c r="H5" s="59"/>
    </row>
    <row r="6" spans="1:9" ht="15.75" thickBot="1" x14ac:dyDescent="0.3">
      <c r="A6" s="42" t="s">
        <v>65</v>
      </c>
      <c r="B6" s="42"/>
      <c r="C6" s="42"/>
      <c r="D6" s="42"/>
      <c r="E6" s="42"/>
      <c r="F6" s="42"/>
      <c r="G6" s="43"/>
      <c r="H6" s="43"/>
    </row>
    <row r="7" spans="1:9" ht="15.75" thickBot="1" x14ac:dyDescent="0.3">
      <c r="A7" s="44" t="s">
        <v>2</v>
      </c>
      <c r="B7" s="47" t="s">
        <v>30</v>
      </c>
      <c r="C7" s="48"/>
      <c r="D7" s="48"/>
      <c r="E7" s="48"/>
      <c r="F7" s="48"/>
      <c r="G7" s="49" t="s">
        <v>3</v>
      </c>
      <c r="H7" s="50"/>
    </row>
    <row r="8" spans="1:9" ht="105.75" thickBot="1" x14ac:dyDescent="0.3">
      <c r="A8" s="45"/>
      <c r="B8" s="40" t="s">
        <v>30</v>
      </c>
      <c r="C8" s="51"/>
      <c r="D8" s="27" t="s">
        <v>32</v>
      </c>
      <c r="E8" s="51" t="s">
        <v>4</v>
      </c>
      <c r="F8" s="41"/>
      <c r="G8" s="52"/>
      <c r="H8" s="53"/>
    </row>
    <row r="9" spans="1:9" ht="150.75" thickBot="1" x14ac:dyDescent="0.3">
      <c r="A9" s="46"/>
      <c r="B9" s="33" t="s">
        <v>36</v>
      </c>
      <c r="C9" s="33" t="s">
        <v>5</v>
      </c>
      <c r="D9" s="33" t="s">
        <v>33</v>
      </c>
      <c r="E9" s="33" t="s">
        <v>34</v>
      </c>
      <c r="F9" s="33" t="s">
        <v>35</v>
      </c>
      <c r="G9" s="54"/>
      <c r="H9" s="55"/>
    </row>
    <row r="10" spans="1:9" ht="15.75" thickBot="1" x14ac:dyDescent="0.3">
      <c r="A10" s="26">
        <v>1</v>
      </c>
      <c r="B10" s="33">
        <v>2</v>
      </c>
      <c r="C10" s="10">
        <v>3</v>
      </c>
      <c r="D10" s="33">
        <v>4</v>
      </c>
      <c r="E10" s="10">
        <v>5</v>
      </c>
      <c r="F10" s="33">
        <v>6</v>
      </c>
      <c r="G10" s="40" t="s">
        <v>37</v>
      </c>
      <c r="H10" s="41"/>
    </row>
    <row r="11" spans="1:9" ht="60.75" thickBot="1" x14ac:dyDescent="0.3">
      <c r="A11" s="2" t="s">
        <v>7</v>
      </c>
      <c r="B11" s="6">
        <f>B12</f>
        <v>21878.12</v>
      </c>
      <c r="C11" s="11"/>
      <c r="D11" s="6">
        <f>D12</f>
        <v>6908.880000000001</v>
      </c>
      <c r="E11" s="7" t="s">
        <v>8</v>
      </c>
      <c r="F11" s="7" t="s">
        <v>8</v>
      </c>
      <c r="G11" s="34">
        <f>28960-173</f>
        <v>28787</v>
      </c>
      <c r="H11" s="35"/>
    </row>
    <row r="12" spans="1:9" ht="15.75" thickBot="1" x14ac:dyDescent="0.3">
      <c r="A12" s="3" t="s">
        <v>9</v>
      </c>
      <c r="B12" s="6">
        <f>G12*76%</f>
        <v>21878.12</v>
      </c>
      <c r="C12" s="11"/>
      <c r="D12" s="28">
        <f>G12-B12</f>
        <v>6908.880000000001</v>
      </c>
      <c r="E12" s="7" t="s">
        <v>8</v>
      </c>
      <c r="F12" s="7" t="s">
        <v>8</v>
      </c>
      <c r="G12" s="34">
        <f>G11-G13</f>
        <v>28787</v>
      </c>
      <c r="H12" s="35"/>
      <c r="I12" t="e">
        <f>G12/K19</f>
        <v>#DIV/0!</v>
      </c>
    </row>
    <row r="13" spans="1:9" ht="15.75" thickBot="1" x14ac:dyDescent="0.3">
      <c r="A13" s="2" t="s">
        <v>10</v>
      </c>
      <c r="B13" s="6">
        <v>0</v>
      </c>
      <c r="C13" s="11"/>
      <c r="D13" s="6">
        <v>0</v>
      </c>
      <c r="E13" s="7" t="s">
        <v>8</v>
      </c>
      <c r="F13" s="7" t="s">
        <v>8</v>
      </c>
      <c r="G13" s="34"/>
      <c r="H13" s="35"/>
    </row>
    <row r="14" spans="1:9" ht="60.75" thickBot="1" x14ac:dyDescent="0.3">
      <c r="A14" s="2" t="s">
        <v>11</v>
      </c>
      <c r="B14" s="6">
        <f>G14*76%</f>
        <v>6391.6</v>
      </c>
      <c r="C14" s="11"/>
      <c r="D14" s="28">
        <f>G14-B14</f>
        <v>2018.3999999999996</v>
      </c>
      <c r="E14" s="7" t="s">
        <v>8</v>
      </c>
      <c r="F14" s="7" t="s">
        <v>8</v>
      </c>
      <c r="G14" s="34">
        <f>8485-75</f>
        <v>8410</v>
      </c>
      <c r="H14" s="35"/>
      <c r="I14" t="e">
        <f>G14/K19</f>
        <v>#DIV/0!</v>
      </c>
    </row>
    <row r="15" spans="1:9" ht="30.75" thickBot="1" x14ac:dyDescent="0.3">
      <c r="A15" s="2" t="s">
        <v>12</v>
      </c>
      <c r="B15" s="6">
        <f>G15*76%</f>
        <v>188.48</v>
      </c>
      <c r="C15" s="11"/>
      <c r="D15" s="28">
        <f>G15-B15</f>
        <v>59.52000000000001</v>
      </c>
      <c r="E15" s="7" t="s">
        <v>8</v>
      </c>
      <c r="F15" s="7" t="s">
        <v>8</v>
      </c>
      <c r="G15" s="34">
        <f>173+75</f>
        <v>248</v>
      </c>
      <c r="H15" s="35"/>
      <c r="I15" t="e">
        <f>G15/K19</f>
        <v>#DIV/0!</v>
      </c>
    </row>
    <row r="16" spans="1:9" ht="15.75" thickBot="1" x14ac:dyDescent="0.3">
      <c r="A16" s="2" t="s">
        <v>13</v>
      </c>
      <c r="B16" s="6">
        <f>G16*56%</f>
        <v>0</v>
      </c>
      <c r="C16" s="6"/>
      <c r="D16" s="28">
        <f>G16-B16</f>
        <v>0</v>
      </c>
      <c r="E16" s="7" t="s">
        <v>8</v>
      </c>
      <c r="F16" s="7" t="s">
        <v>8</v>
      </c>
      <c r="G16" s="34">
        <v>0</v>
      </c>
      <c r="H16" s="35"/>
    </row>
    <row r="17" spans="1:11" ht="30.75" thickBot="1" x14ac:dyDescent="0.3">
      <c r="A17" s="2" t="s">
        <v>14</v>
      </c>
      <c r="B17" s="6">
        <f>G17*56%</f>
        <v>916.72000000000014</v>
      </c>
      <c r="C17" s="6"/>
      <c r="D17" s="28">
        <f>G17-B17</f>
        <v>720.27999999999986</v>
      </c>
      <c r="E17" s="7" t="s">
        <v>8</v>
      </c>
      <c r="F17" s="7" t="s">
        <v>8</v>
      </c>
      <c r="G17" s="34">
        <v>1637</v>
      </c>
      <c r="H17" s="35"/>
    </row>
    <row r="18" spans="1:11" ht="45.75" thickBot="1" x14ac:dyDescent="0.3">
      <c r="A18" s="2" t="s">
        <v>15</v>
      </c>
      <c r="B18" s="7" t="s">
        <v>8</v>
      </c>
      <c r="C18" s="7" t="s">
        <v>8</v>
      </c>
      <c r="D18" s="6"/>
      <c r="E18" s="7" t="s">
        <v>8</v>
      </c>
      <c r="F18" s="7" t="s">
        <v>8</v>
      </c>
      <c r="G18" s="34"/>
      <c r="H18" s="35"/>
    </row>
    <row r="19" spans="1:11" ht="15.75" thickBot="1" x14ac:dyDescent="0.3">
      <c r="A19" s="2" t="s">
        <v>16</v>
      </c>
      <c r="B19" s="7" t="s">
        <v>8</v>
      </c>
      <c r="C19" s="7" t="s">
        <v>8</v>
      </c>
      <c r="D19" s="11"/>
      <c r="E19" s="6">
        <v>0</v>
      </c>
      <c r="F19" s="6"/>
      <c r="G19" s="34">
        <v>5000</v>
      </c>
      <c r="H19" s="35"/>
      <c r="I19" s="9"/>
      <c r="K19" s="9"/>
    </row>
    <row r="20" spans="1:11" ht="15.75" thickBot="1" x14ac:dyDescent="0.3">
      <c r="A20" s="3" t="s">
        <v>17</v>
      </c>
      <c r="B20" s="6">
        <f>G20*56%</f>
        <v>0</v>
      </c>
      <c r="C20" s="7"/>
      <c r="D20" s="6"/>
      <c r="E20" s="6">
        <f>G20-B20</f>
        <v>0</v>
      </c>
      <c r="F20" s="6"/>
      <c r="G20" s="34">
        <v>0</v>
      </c>
      <c r="H20" s="35"/>
    </row>
    <row r="21" spans="1:11" ht="15.75" thickBot="1" x14ac:dyDescent="0.3">
      <c r="A21" s="3" t="s">
        <v>18</v>
      </c>
      <c r="B21" s="6"/>
      <c r="C21" s="7"/>
      <c r="D21" s="7"/>
      <c r="E21" s="6"/>
      <c r="F21" s="6"/>
      <c r="G21" s="34"/>
      <c r="H21" s="35"/>
      <c r="I21" s="9"/>
    </row>
    <row r="22" spans="1:11" ht="45.75" thickBot="1" x14ac:dyDescent="0.3">
      <c r="A22" s="2" t="s">
        <v>19</v>
      </c>
      <c r="B22" s="6"/>
      <c r="C22" s="7"/>
      <c r="D22" s="6"/>
      <c r="E22" s="6"/>
      <c r="F22" s="6"/>
      <c r="G22" s="38"/>
      <c r="H22" s="39"/>
    </row>
    <row r="23" spans="1:11" ht="45.75" thickBot="1" x14ac:dyDescent="0.3">
      <c r="A23" s="2" t="s">
        <v>20</v>
      </c>
      <c r="B23" s="6">
        <f>G23*56%</f>
        <v>404.32000000000005</v>
      </c>
      <c r="C23" s="7"/>
      <c r="D23" s="6"/>
      <c r="E23" s="6">
        <f>G23-B23</f>
        <v>317.67999999999995</v>
      </c>
      <c r="F23" s="6"/>
      <c r="G23" s="34">
        <v>722</v>
      </c>
      <c r="H23" s="35"/>
    </row>
    <row r="24" spans="1:11" ht="30.75" thickBot="1" x14ac:dyDescent="0.3">
      <c r="A24" s="2" t="s">
        <v>21</v>
      </c>
      <c r="B24" s="6">
        <f>G24*56%</f>
        <v>369.04</v>
      </c>
      <c r="C24" s="6"/>
      <c r="D24" s="28">
        <f>G24-B24</f>
        <v>289.95999999999998</v>
      </c>
      <c r="E24" s="7" t="s">
        <v>8</v>
      </c>
      <c r="F24" s="7" t="s">
        <v>8</v>
      </c>
      <c r="G24" s="34">
        <v>659</v>
      </c>
      <c r="H24" s="35"/>
    </row>
    <row r="25" spans="1:11" ht="15.75" thickBot="1" x14ac:dyDescent="0.3">
      <c r="A25" s="3" t="s">
        <v>22</v>
      </c>
      <c r="B25" s="6">
        <f>G25*56%</f>
        <v>290.64000000000004</v>
      </c>
      <c r="C25" s="6"/>
      <c r="D25" s="28">
        <f>G25-B25</f>
        <v>228.35999999999996</v>
      </c>
      <c r="E25" s="7" t="s">
        <v>8</v>
      </c>
      <c r="F25" s="7" t="s">
        <v>8</v>
      </c>
      <c r="G25" s="34">
        <f>459+60</f>
        <v>519</v>
      </c>
      <c r="H25" s="35"/>
    </row>
    <row r="26" spans="1:11" ht="15.75" thickBot="1" x14ac:dyDescent="0.3">
      <c r="A26" s="3" t="s">
        <v>23</v>
      </c>
      <c r="B26" s="7" t="s">
        <v>8</v>
      </c>
      <c r="C26" s="11"/>
      <c r="D26" s="7" t="s">
        <v>8</v>
      </c>
      <c r="E26" s="7" t="s">
        <v>8</v>
      </c>
      <c r="F26" s="7" t="s">
        <v>8</v>
      </c>
      <c r="G26" s="38"/>
      <c r="H26" s="39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7" t="s">
        <v>8</v>
      </c>
      <c r="F27" s="7" t="s">
        <v>8</v>
      </c>
      <c r="G27" s="34"/>
      <c r="H27" s="35"/>
    </row>
    <row r="28" spans="1:11" ht="15.75" thickBot="1" x14ac:dyDescent="0.3">
      <c r="A28" s="4" t="s">
        <v>25</v>
      </c>
      <c r="B28" s="6">
        <f>SUM(B12:B27)</f>
        <v>30438.920000000002</v>
      </c>
      <c r="C28" s="6"/>
      <c r="D28" s="6">
        <f>SUM(D12:D27)</f>
        <v>10225.400000000001</v>
      </c>
      <c r="E28" s="6">
        <f>SUM(E12:E27)</f>
        <v>317.67999999999995</v>
      </c>
      <c r="F28" s="6"/>
      <c r="G28" s="34">
        <f>SUM(G12:H27)</f>
        <v>45982</v>
      </c>
      <c r="H28" s="35"/>
    </row>
    <row r="29" spans="1:11" x14ac:dyDescent="0.25">
      <c r="A29" s="36" t="s">
        <v>26</v>
      </c>
      <c r="B29" s="36"/>
      <c r="C29" s="36"/>
      <c r="D29" s="36"/>
      <c r="E29" s="36"/>
      <c r="F29" s="36"/>
      <c r="G29" s="36"/>
      <c r="H29" s="36"/>
      <c r="K29" s="9"/>
    </row>
    <row r="30" spans="1:11" x14ac:dyDescent="0.25">
      <c r="A30" s="37" t="s">
        <v>27</v>
      </c>
      <c r="B30" s="37"/>
      <c r="C30" s="37"/>
      <c r="D30" s="37"/>
      <c r="E30" s="37"/>
      <c r="F30" s="37"/>
      <c r="G30" s="37"/>
      <c r="H30" s="37"/>
    </row>
    <row r="31" spans="1:11" x14ac:dyDescent="0.25">
      <c r="A31" s="37" t="s">
        <v>28</v>
      </c>
      <c r="B31" s="37"/>
      <c r="C31" s="37"/>
      <c r="D31" s="37"/>
      <c r="E31" s="37"/>
      <c r="F31" s="37"/>
      <c r="G31" s="37"/>
      <c r="H31" s="37"/>
    </row>
    <row r="32" spans="1:11" x14ac:dyDescent="0.25">
      <c r="A32" s="1"/>
      <c r="B32" s="8"/>
      <c r="C32" s="8"/>
      <c r="D32" s="8"/>
      <c r="E32" s="8"/>
      <c r="F32" s="8"/>
      <c r="G32" s="8"/>
      <c r="H32" s="8"/>
    </row>
    <row r="33" spans="1:8" ht="15.75" x14ac:dyDescent="0.25">
      <c r="A33" s="5"/>
      <c r="B33" s="12" t="s">
        <v>78</v>
      </c>
      <c r="C33" s="12">
        <v>18600</v>
      </c>
    </row>
    <row r="34" spans="1:8" x14ac:dyDescent="0.25">
      <c r="B34" s="9">
        <f>C33-B28</f>
        <v>-11838.920000000002</v>
      </c>
      <c r="C34"/>
      <c r="D34"/>
      <c r="E34"/>
      <c r="F34"/>
      <c r="G34"/>
      <c r="H34"/>
    </row>
    <row r="41" spans="1:8" x14ac:dyDescent="0.25">
      <c r="A41" s="29"/>
      <c r="B41" s="30"/>
      <c r="C41" s="30"/>
      <c r="D41" s="30"/>
      <c r="E41" s="56" t="s">
        <v>29</v>
      </c>
      <c r="F41" s="56"/>
      <c r="G41" s="56"/>
      <c r="H41" s="56"/>
    </row>
    <row r="42" spans="1:8" x14ac:dyDescent="0.25">
      <c r="A42" s="57"/>
      <c r="B42" s="58"/>
      <c r="C42" s="58"/>
      <c r="D42" s="59"/>
      <c r="E42" s="59" t="s">
        <v>0</v>
      </c>
      <c r="F42" s="59"/>
      <c r="G42" s="59"/>
      <c r="H42" s="59"/>
    </row>
    <row r="43" spans="1:8" x14ac:dyDescent="0.25">
      <c r="A43" s="57"/>
      <c r="B43" s="58"/>
      <c r="C43" s="58"/>
      <c r="D43" s="59"/>
      <c r="E43" s="59" t="s">
        <v>1</v>
      </c>
      <c r="F43" s="59"/>
      <c r="G43" s="59"/>
      <c r="H43" s="59"/>
    </row>
    <row r="44" spans="1:8" ht="15.75" thickBot="1" x14ac:dyDescent="0.3">
      <c r="A44" s="42" t="s">
        <v>79</v>
      </c>
      <c r="B44" s="42"/>
      <c r="C44" s="42"/>
      <c r="D44" s="42"/>
      <c r="E44" s="42"/>
      <c r="F44" s="42"/>
      <c r="G44" s="43"/>
      <c r="H44" s="43"/>
    </row>
    <row r="45" spans="1:8" ht="15.75" thickBot="1" x14ac:dyDescent="0.3">
      <c r="A45" s="44" t="s">
        <v>2</v>
      </c>
      <c r="B45" s="47" t="s">
        <v>30</v>
      </c>
      <c r="C45" s="48"/>
      <c r="D45" s="48"/>
      <c r="E45" s="48"/>
      <c r="F45" s="48"/>
      <c r="G45" s="49" t="s">
        <v>3</v>
      </c>
      <c r="H45" s="50"/>
    </row>
    <row r="46" spans="1:8" ht="105.75" thickBot="1" x14ac:dyDescent="0.3">
      <c r="A46" s="45"/>
      <c r="B46" s="40" t="s">
        <v>30</v>
      </c>
      <c r="C46" s="51"/>
      <c r="D46" s="27" t="s">
        <v>32</v>
      </c>
      <c r="E46" s="51" t="s">
        <v>4</v>
      </c>
      <c r="F46" s="41"/>
      <c r="G46" s="52"/>
      <c r="H46" s="53"/>
    </row>
    <row r="47" spans="1:8" ht="150.75" thickBot="1" x14ac:dyDescent="0.3">
      <c r="A47" s="46"/>
      <c r="B47" s="33" t="s">
        <v>36</v>
      </c>
      <c r="C47" s="33" t="s">
        <v>5</v>
      </c>
      <c r="D47" s="33" t="s">
        <v>33</v>
      </c>
      <c r="E47" s="33" t="s">
        <v>34</v>
      </c>
      <c r="F47" s="33" t="s">
        <v>35</v>
      </c>
      <c r="G47" s="54"/>
      <c r="H47" s="55"/>
    </row>
    <row r="48" spans="1:8" ht="15.75" thickBot="1" x14ac:dyDescent="0.3">
      <c r="A48" s="26">
        <v>1</v>
      </c>
      <c r="B48" s="33">
        <v>2</v>
      </c>
      <c r="C48" s="10">
        <v>3</v>
      </c>
      <c r="D48" s="33">
        <v>4</v>
      </c>
      <c r="E48" s="10">
        <v>5</v>
      </c>
      <c r="F48" s="33">
        <v>6</v>
      </c>
      <c r="G48" s="40" t="s">
        <v>37</v>
      </c>
      <c r="H48" s="41"/>
    </row>
    <row r="49" spans="1:10" ht="60.75" thickBot="1" x14ac:dyDescent="0.3">
      <c r="A49" s="2" t="s">
        <v>7</v>
      </c>
      <c r="B49" s="6">
        <f>B50</f>
        <v>41834.959999999999</v>
      </c>
      <c r="C49" s="11"/>
      <c r="D49" s="6">
        <f>D50</f>
        <v>13211.04</v>
      </c>
      <c r="E49" s="7" t="s">
        <v>8</v>
      </c>
      <c r="F49" s="7" t="s">
        <v>8</v>
      </c>
      <c r="G49" s="34">
        <f>55375-329</f>
        <v>55046</v>
      </c>
      <c r="H49" s="35"/>
    </row>
    <row r="50" spans="1:10" ht="15.75" thickBot="1" x14ac:dyDescent="0.3">
      <c r="A50" s="3" t="s">
        <v>9</v>
      </c>
      <c r="B50" s="6">
        <f>G50*76%</f>
        <v>41834.959999999999</v>
      </c>
      <c r="C50" s="11"/>
      <c r="D50" s="28">
        <f>G50-B50</f>
        <v>13211.04</v>
      </c>
      <c r="E50" s="7" t="s">
        <v>8</v>
      </c>
      <c r="F50" s="7" t="s">
        <v>8</v>
      </c>
      <c r="G50" s="34">
        <f>G49-G51</f>
        <v>55046</v>
      </c>
      <c r="H50" s="35"/>
    </row>
    <row r="51" spans="1:10" ht="15.75" thickBot="1" x14ac:dyDescent="0.3">
      <c r="A51" s="2" t="s">
        <v>10</v>
      </c>
      <c r="B51" s="6">
        <v>0</v>
      </c>
      <c r="C51" s="11"/>
      <c r="D51" s="6">
        <v>0</v>
      </c>
      <c r="E51" s="7" t="s">
        <v>8</v>
      </c>
      <c r="F51" s="7" t="s">
        <v>8</v>
      </c>
      <c r="G51" s="34"/>
      <c r="H51" s="35"/>
    </row>
    <row r="52" spans="1:10" ht="60.75" thickBot="1" x14ac:dyDescent="0.3">
      <c r="A52" s="2" t="s">
        <v>11</v>
      </c>
      <c r="B52" s="6">
        <f>G52*76%</f>
        <v>12763.44</v>
      </c>
      <c r="C52" s="11"/>
      <c r="D52" s="28">
        <f>G52-B52</f>
        <v>4030.5599999999995</v>
      </c>
      <c r="E52" s="7" t="s">
        <v>8</v>
      </c>
      <c r="F52" s="7" t="s">
        <v>8</v>
      </c>
      <c r="G52" s="34">
        <f>16944-150</f>
        <v>16794</v>
      </c>
      <c r="H52" s="35"/>
    </row>
    <row r="53" spans="1:10" ht="30.75" thickBot="1" x14ac:dyDescent="0.3">
      <c r="A53" s="2" t="s">
        <v>12</v>
      </c>
      <c r="B53" s="6">
        <f>G53*76%</f>
        <v>364.04</v>
      </c>
      <c r="C53" s="11"/>
      <c r="D53" s="28">
        <f>G53-B53</f>
        <v>114.95999999999998</v>
      </c>
      <c r="E53" s="7" t="s">
        <v>8</v>
      </c>
      <c r="F53" s="7" t="s">
        <v>8</v>
      </c>
      <c r="G53" s="34">
        <f>150+329</f>
        <v>479</v>
      </c>
      <c r="H53" s="35"/>
      <c r="I53" s="9"/>
      <c r="J53" s="9"/>
    </row>
    <row r="54" spans="1:10" ht="15.75" thickBot="1" x14ac:dyDescent="0.3">
      <c r="A54" s="2" t="s">
        <v>13</v>
      </c>
      <c r="B54" s="6">
        <f>G54*56%</f>
        <v>0</v>
      </c>
      <c r="C54" s="6"/>
      <c r="D54" s="28">
        <f>G54-B54</f>
        <v>0</v>
      </c>
      <c r="E54" s="7" t="s">
        <v>8</v>
      </c>
      <c r="F54" s="7" t="s">
        <v>8</v>
      </c>
      <c r="G54" s="34">
        <v>0</v>
      </c>
      <c r="H54" s="35"/>
      <c r="I54" s="9"/>
    </row>
    <row r="55" spans="1:10" ht="30.75" thickBot="1" x14ac:dyDescent="0.3">
      <c r="A55" s="2" t="s">
        <v>14</v>
      </c>
      <c r="B55" s="6">
        <f>G55*56%</f>
        <v>1844.64</v>
      </c>
      <c r="C55" s="6"/>
      <c r="D55" s="28">
        <f>G55-B55</f>
        <v>1449.36</v>
      </c>
      <c r="E55" s="7" t="s">
        <v>8</v>
      </c>
      <c r="F55" s="7" t="s">
        <v>8</v>
      </c>
      <c r="G55" s="34">
        <v>3294</v>
      </c>
      <c r="H55" s="35"/>
    </row>
    <row r="56" spans="1:10" ht="45.75" thickBot="1" x14ac:dyDescent="0.3">
      <c r="A56" s="2" t="s">
        <v>15</v>
      </c>
      <c r="B56" s="7" t="s">
        <v>8</v>
      </c>
      <c r="C56" s="7" t="s">
        <v>8</v>
      </c>
      <c r="D56" s="6"/>
      <c r="E56" s="7" t="s">
        <v>8</v>
      </c>
      <c r="F56" s="7" t="s">
        <v>8</v>
      </c>
      <c r="G56" s="34"/>
      <c r="H56" s="35"/>
    </row>
    <row r="57" spans="1:10" ht="15.75" thickBot="1" x14ac:dyDescent="0.3">
      <c r="A57" s="2" t="s">
        <v>16</v>
      </c>
      <c r="B57" s="7" t="s">
        <v>8</v>
      </c>
      <c r="C57" s="7" t="s">
        <v>8</v>
      </c>
      <c r="D57" s="11"/>
      <c r="E57" s="6">
        <v>3000</v>
      </c>
      <c r="F57" s="6"/>
      <c r="G57" s="34">
        <v>10000</v>
      </c>
      <c r="H57" s="35"/>
    </row>
    <row r="58" spans="1:10" ht="15.75" thickBot="1" x14ac:dyDescent="0.3">
      <c r="A58" s="3" t="s">
        <v>17</v>
      </c>
      <c r="B58" s="6">
        <f>G58*56%</f>
        <v>0</v>
      </c>
      <c r="C58" s="7"/>
      <c r="D58" s="6"/>
      <c r="E58" s="6">
        <f>G58-B58</f>
        <v>0</v>
      </c>
      <c r="F58" s="6"/>
      <c r="G58" s="34">
        <v>0</v>
      </c>
      <c r="H58" s="35"/>
    </row>
    <row r="59" spans="1:10" ht="15.75" thickBot="1" x14ac:dyDescent="0.3">
      <c r="A59" s="3" t="s">
        <v>18</v>
      </c>
      <c r="B59" s="6"/>
      <c r="C59" s="7"/>
      <c r="D59" s="7"/>
      <c r="E59" s="6"/>
      <c r="F59" s="6"/>
      <c r="G59" s="34"/>
      <c r="H59" s="35"/>
    </row>
    <row r="60" spans="1:10" ht="45.75" thickBot="1" x14ac:dyDescent="0.3">
      <c r="A60" s="2" t="s">
        <v>19</v>
      </c>
      <c r="B60" s="6"/>
      <c r="C60" s="7"/>
      <c r="D60" s="6"/>
      <c r="E60" s="6"/>
      <c r="F60" s="6"/>
      <c r="G60" s="38"/>
      <c r="H60" s="39"/>
    </row>
    <row r="61" spans="1:10" ht="45.75" thickBot="1" x14ac:dyDescent="0.3">
      <c r="A61" s="2" t="s">
        <v>20</v>
      </c>
      <c r="B61" s="6">
        <f>G61*56%</f>
        <v>808.6400000000001</v>
      </c>
      <c r="C61" s="7"/>
      <c r="D61" s="6"/>
      <c r="E61" s="6">
        <f>G61-B61</f>
        <v>635.3599999999999</v>
      </c>
      <c r="F61" s="6"/>
      <c r="G61" s="34">
        <v>1444</v>
      </c>
      <c r="H61" s="35"/>
    </row>
    <row r="62" spans="1:10" ht="30.75" thickBot="1" x14ac:dyDescent="0.3">
      <c r="A62" s="2" t="s">
        <v>21</v>
      </c>
      <c r="B62" s="6">
        <f>G62*56%</f>
        <v>1374.8000000000002</v>
      </c>
      <c r="C62" s="6"/>
      <c r="D62" s="28">
        <f>G62-B62</f>
        <v>1080.1999999999998</v>
      </c>
      <c r="E62" s="7" t="s">
        <v>8</v>
      </c>
      <c r="F62" s="7" t="s">
        <v>8</v>
      </c>
      <c r="G62" s="34">
        <f>12455-G57</f>
        <v>2455</v>
      </c>
      <c r="H62" s="35"/>
    </row>
    <row r="63" spans="1:10" ht="15.75" thickBot="1" x14ac:dyDescent="0.3">
      <c r="A63" s="3" t="s">
        <v>22</v>
      </c>
      <c r="B63" s="6">
        <f>G63*56%</f>
        <v>352.8</v>
      </c>
      <c r="C63" s="6"/>
      <c r="D63" s="28">
        <f>G63-B63</f>
        <v>277.2</v>
      </c>
      <c r="E63" s="7" t="s">
        <v>8</v>
      </c>
      <c r="F63" s="7" t="s">
        <v>8</v>
      </c>
      <c r="G63" s="34">
        <f>101+529</f>
        <v>630</v>
      </c>
      <c r="H63" s="35"/>
    </row>
    <row r="64" spans="1:10" ht="15.75" thickBot="1" x14ac:dyDescent="0.3">
      <c r="A64" s="3" t="s">
        <v>23</v>
      </c>
      <c r="B64" s="7" t="s">
        <v>8</v>
      </c>
      <c r="C64" s="11"/>
      <c r="D64" s="7" t="s">
        <v>8</v>
      </c>
      <c r="E64" s="7" t="s">
        <v>8</v>
      </c>
      <c r="F64" s="7" t="s">
        <v>8</v>
      </c>
      <c r="G64" s="38"/>
      <c r="H64" s="39"/>
    </row>
    <row r="65" spans="1:10" ht="15.75" thickBot="1" x14ac:dyDescent="0.3">
      <c r="A65" s="3" t="s">
        <v>24</v>
      </c>
      <c r="B65" s="6">
        <f>G65*56%</f>
        <v>0</v>
      </c>
      <c r="C65" s="6"/>
      <c r="D65" s="6"/>
      <c r="E65" s="7" t="s">
        <v>8</v>
      </c>
      <c r="F65" s="7" t="s">
        <v>8</v>
      </c>
      <c r="G65" s="34"/>
      <c r="H65" s="35"/>
    </row>
    <row r="66" spans="1:10" ht="15.75" thickBot="1" x14ac:dyDescent="0.3">
      <c r="A66" s="4" t="s">
        <v>25</v>
      </c>
      <c r="B66" s="6">
        <f>SUM(B50:B65)</f>
        <v>59343.320000000007</v>
      </c>
      <c r="C66" s="6"/>
      <c r="D66" s="6">
        <f>SUM(D50:D65)</f>
        <v>20163.32</v>
      </c>
      <c r="E66" s="6">
        <f>SUM(E50:E65)</f>
        <v>3635.3599999999997</v>
      </c>
      <c r="F66" s="6"/>
      <c r="G66" s="34">
        <f>SUM(G50:H65)</f>
        <v>90142</v>
      </c>
      <c r="H66" s="35"/>
    </row>
    <row r="67" spans="1:10" x14ac:dyDescent="0.25">
      <c r="A67" s="36" t="s">
        <v>26</v>
      </c>
      <c r="B67" s="36"/>
      <c r="C67" s="36"/>
      <c r="D67" s="36"/>
      <c r="E67" s="36"/>
      <c r="F67" s="36"/>
      <c r="G67" s="36"/>
      <c r="H67" s="36"/>
    </row>
    <row r="68" spans="1:10" x14ac:dyDescent="0.25">
      <c r="A68" s="37" t="s">
        <v>27</v>
      </c>
      <c r="B68" s="37"/>
      <c r="C68" s="37"/>
      <c r="D68" s="37"/>
      <c r="E68" s="37"/>
      <c r="F68" s="37"/>
      <c r="G68" s="37"/>
      <c r="H68" s="37"/>
    </row>
    <row r="69" spans="1:10" x14ac:dyDescent="0.25">
      <c r="A69" s="37" t="s">
        <v>28</v>
      </c>
      <c r="B69" s="37"/>
      <c r="C69" s="37"/>
      <c r="D69" s="37"/>
      <c r="E69" s="37"/>
      <c r="F69" s="37"/>
      <c r="G69" s="37"/>
      <c r="H69" s="37"/>
      <c r="J69" s="9"/>
    </row>
    <row r="70" spans="1:10" x14ac:dyDescent="0.25">
      <c r="A70" s="1"/>
      <c r="B70" s="8"/>
      <c r="C70" s="8"/>
      <c r="D70" s="8"/>
      <c r="E70" s="8"/>
      <c r="F70" s="8"/>
      <c r="G70" s="8"/>
      <c r="H70" s="8"/>
    </row>
    <row r="71" spans="1:10" ht="15.75" x14ac:dyDescent="0.25">
      <c r="A71" s="5"/>
      <c r="B71" s="12" t="s">
        <v>80</v>
      </c>
      <c r="C71" s="12">
        <v>49000</v>
      </c>
    </row>
    <row r="73" spans="1:10" x14ac:dyDescent="0.25">
      <c r="B73" s="9">
        <f>C71-B66</f>
        <v>-10343.320000000007</v>
      </c>
      <c r="C73"/>
      <c r="D73"/>
      <c r="E73"/>
      <c r="F73"/>
      <c r="G73"/>
      <c r="H73"/>
    </row>
    <row r="77" spans="1:10" x14ac:dyDescent="0.25">
      <c r="A77" s="29"/>
      <c r="B77" s="30"/>
      <c r="C77" s="30"/>
      <c r="D77" s="30"/>
      <c r="E77" s="56" t="s">
        <v>29</v>
      </c>
      <c r="F77" s="56"/>
      <c r="G77" s="56"/>
      <c r="H77" s="56"/>
    </row>
    <row r="78" spans="1:10" x14ac:dyDescent="0.25">
      <c r="A78" s="57"/>
      <c r="B78" s="58"/>
      <c r="C78" s="58"/>
      <c r="D78" s="59"/>
      <c r="E78" s="59" t="s">
        <v>0</v>
      </c>
      <c r="F78" s="59"/>
      <c r="G78" s="59"/>
      <c r="H78" s="59"/>
    </row>
    <row r="79" spans="1:10" x14ac:dyDescent="0.25">
      <c r="A79" s="57"/>
      <c r="B79" s="58"/>
      <c r="C79" s="58"/>
      <c r="D79" s="59"/>
      <c r="E79" s="59" t="s">
        <v>1</v>
      </c>
      <c r="F79" s="59"/>
      <c r="G79" s="59"/>
      <c r="H79" s="59"/>
    </row>
    <row r="80" spans="1:10" ht="15.75" thickBot="1" x14ac:dyDescent="0.3">
      <c r="A80" s="42" t="s">
        <v>81</v>
      </c>
      <c r="B80" s="42"/>
      <c r="C80" s="42"/>
      <c r="D80" s="42"/>
      <c r="E80" s="42"/>
      <c r="F80" s="42"/>
      <c r="G80" s="43"/>
      <c r="H80" s="43"/>
    </row>
    <row r="81" spans="1:9" ht="15.75" thickBot="1" x14ac:dyDescent="0.3">
      <c r="A81" s="44" t="s">
        <v>2</v>
      </c>
      <c r="B81" s="47" t="s">
        <v>30</v>
      </c>
      <c r="C81" s="48"/>
      <c r="D81" s="48"/>
      <c r="E81" s="48"/>
      <c r="F81" s="48"/>
      <c r="G81" s="49" t="s">
        <v>3</v>
      </c>
      <c r="H81" s="50"/>
    </row>
    <row r="82" spans="1:9" ht="105.75" thickBot="1" x14ac:dyDescent="0.3">
      <c r="A82" s="45"/>
      <c r="B82" s="40" t="s">
        <v>30</v>
      </c>
      <c r="C82" s="51"/>
      <c r="D82" s="27" t="s">
        <v>32</v>
      </c>
      <c r="E82" s="51" t="s">
        <v>4</v>
      </c>
      <c r="F82" s="41"/>
      <c r="G82" s="52"/>
      <c r="H82" s="53"/>
    </row>
    <row r="83" spans="1:9" ht="150.75" thickBot="1" x14ac:dyDescent="0.3">
      <c r="A83" s="46"/>
      <c r="B83" s="33" t="s">
        <v>36</v>
      </c>
      <c r="C83" s="33" t="s">
        <v>5</v>
      </c>
      <c r="D83" s="33" t="s">
        <v>33</v>
      </c>
      <c r="E83" s="33" t="s">
        <v>34</v>
      </c>
      <c r="F83" s="33" t="s">
        <v>35</v>
      </c>
      <c r="G83" s="54"/>
      <c r="H83" s="55"/>
    </row>
    <row r="84" spans="1:9" ht="15.75" thickBot="1" x14ac:dyDescent="0.3">
      <c r="A84" s="26">
        <v>1</v>
      </c>
      <c r="B84" s="33">
        <v>2</v>
      </c>
      <c r="C84" s="10">
        <v>3</v>
      </c>
      <c r="D84" s="33">
        <v>4</v>
      </c>
      <c r="E84" s="10">
        <v>5</v>
      </c>
      <c r="F84" s="33">
        <v>6</v>
      </c>
      <c r="G84" s="40" t="s">
        <v>37</v>
      </c>
      <c r="H84" s="41"/>
    </row>
    <row r="85" spans="1:9" ht="60.75" thickBot="1" x14ac:dyDescent="0.3">
      <c r="A85" s="2" t="s">
        <v>7</v>
      </c>
      <c r="B85" s="6">
        <f>B86</f>
        <v>61640.56</v>
      </c>
      <c r="C85" s="11"/>
      <c r="D85" s="6">
        <f>D86</f>
        <v>19465.440000000002</v>
      </c>
      <c r="E85" s="7" t="s">
        <v>8</v>
      </c>
      <c r="F85" s="7" t="s">
        <v>8</v>
      </c>
      <c r="G85" s="34">
        <f>81615-509</f>
        <v>81106</v>
      </c>
      <c r="H85" s="35"/>
    </row>
    <row r="86" spans="1:9" ht="15.75" thickBot="1" x14ac:dyDescent="0.3">
      <c r="A86" s="3" t="s">
        <v>9</v>
      </c>
      <c r="B86" s="6">
        <f>G86*76%</f>
        <v>61640.56</v>
      </c>
      <c r="C86" s="11"/>
      <c r="D86" s="28">
        <f>G86-B86</f>
        <v>19465.440000000002</v>
      </c>
      <c r="E86" s="7" t="s">
        <v>8</v>
      </c>
      <c r="F86" s="7" t="s">
        <v>8</v>
      </c>
      <c r="G86" s="34">
        <f>G85</f>
        <v>81106</v>
      </c>
      <c r="H86" s="35"/>
    </row>
    <row r="87" spans="1:9" ht="15.75" thickBot="1" x14ac:dyDescent="0.3">
      <c r="A87" s="2" t="s">
        <v>10</v>
      </c>
      <c r="B87" s="6">
        <v>0</v>
      </c>
      <c r="C87" s="11"/>
      <c r="D87" s="6">
        <v>0</v>
      </c>
      <c r="E87" s="7" t="s">
        <v>8</v>
      </c>
      <c r="F87" s="7" t="s">
        <v>8</v>
      </c>
      <c r="G87" s="34"/>
      <c r="H87" s="35"/>
    </row>
    <row r="88" spans="1:9" ht="60.75" thickBot="1" x14ac:dyDescent="0.3">
      <c r="A88" s="2" t="s">
        <v>11</v>
      </c>
      <c r="B88" s="6">
        <f>G88*76%</f>
        <v>19008.36</v>
      </c>
      <c r="C88" s="11"/>
      <c r="D88" s="28">
        <f>G88-B88</f>
        <v>6002.6399999999994</v>
      </c>
      <c r="E88" s="7" t="s">
        <v>8</v>
      </c>
      <c r="F88" s="7" t="s">
        <v>8</v>
      </c>
      <c r="G88" s="34">
        <f>25267-256</f>
        <v>25011</v>
      </c>
      <c r="H88" s="35"/>
    </row>
    <row r="89" spans="1:9" ht="30.75" thickBot="1" x14ac:dyDescent="0.3">
      <c r="A89" s="2" t="s">
        <v>12</v>
      </c>
      <c r="B89" s="6">
        <f>G89*76%</f>
        <v>581.4</v>
      </c>
      <c r="C89" s="11"/>
      <c r="D89" s="28">
        <f>G89-B89</f>
        <v>183.60000000000002</v>
      </c>
      <c r="E89" s="7" t="s">
        <v>8</v>
      </c>
      <c r="F89" s="7" t="s">
        <v>8</v>
      </c>
      <c r="G89" s="34">
        <f>509+256</f>
        <v>765</v>
      </c>
      <c r="H89" s="35"/>
      <c r="I89" s="9"/>
    </row>
    <row r="90" spans="1:9" ht="15.75" thickBot="1" x14ac:dyDescent="0.3">
      <c r="A90" s="2" t="s">
        <v>13</v>
      </c>
      <c r="B90" s="6">
        <f>G90*56%</f>
        <v>0</v>
      </c>
      <c r="C90" s="6"/>
      <c r="D90" s="28">
        <f>G90-B90</f>
        <v>0</v>
      </c>
      <c r="E90" s="7" t="s">
        <v>8</v>
      </c>
      <c r="F90" s="7" t="s">
        <v>8</v>
      </c>
      <c r="G90" s="34">
        <v>0</v>
      </c>
      <c r="H90" s="35"/>
    </row>
    <row r="91" spans="1:9" ht="30.75" thickBot="1" x14ac:dyDescent="0.3">
      <c r="A91" s="2" t="s">
        <v>14</v>
      </c>
      <c r="B91" s="6">
        <f>G91*56%</f>
        <v>2478.5600000000004</v>
      </c>
      <c r="C91" s="6"/>
      <c r="D91" s="28">
        <f>G91-B91</f>
        <v>1947.4399999999996</v>
      </c>
      <c r="E91" s="7" t="s">
        <v>8</v>
      </c>
      <c r="F91" s="7" t="s">
        <v>8</v>
      </c>
      <c r="G91" s="34">
        <v>4426</v>
      </c>
      <c r="H91" s="35"/>
    </row>
    <row r="92" spans="1:9" ht="45.75" thickBot="1" x14ac:dyDescent="0.3">
      <c r="A92" s="2" t="s">
        <v>15</v>
      </c>
      <c r="B92" s="7" t="s">
        <v>8</v>
      </c>
      <c r="C92" s="7" t="s">
        <v>8</v>
      </c>
      <c r="D92" s="6"/>
      <c r="E92" s="7" t="s">
        <v>8</v>
      </c>
      <c r="F92" s="7" t="s">
        <v>8</v>
      </c>
      <c r="G92" s="34"/>
      <c r="H92" s="35"/>
    </row>
    <row r="93" spans="1:9" ht="15.75" thickBot="1" x14ac:dyDescent="0.3">
      <c r="A93" s="2" t="s">
        <v>16</v>
      </c>
      <c r="B93" s="7" t="s">
        <v>8</v>
      </c>
      <c r="C93" s="7" t="s">
        <v>8</v>
      </c>
      <c r="D93" s="11"/>
      <c r="E93" s="6">
        <v>4500</v>
      </c>
      <c r="F93" s="6"/>
      <c r="G93" s="34">
        <v>15000</v>
      </c>
      <c r="H93" s="35"/>
    </row>
    <row r="94" spans="1:9" ht="15.75" thickBot="1" x14ac:dyDescent="0.3">
      <c r="A94" s="3" t="s">
        <v>17</v>
      </c>
      <c r="B94" s="6">
        <f>G94*56%</f>
        <v>0</v>
      </c>
      <c r="C94" s="7"/>
      <c r="D94" s="6"/>
      <c r="E94" s="6">
        <f>G94-B94</f>
        <v>0</v>
      </c>
      <c r="F94" s="6"/>
      <c r="G94" s="34">
        <v>0</v>
      </c>
      <c r="H94" s="35"/>
    </row>
    <row r="95" spans="1:9" ht="15.75" thickBot="1" x14ac:dyDescent="0.3">
      <c r="A95" s="3" t="s">
        <v>18</v>
      </c>
      <c r="B95" s="6"/>
      <c r="C95" s="7"/>
      <c r="D95" s="7"/>
      <c r="E95" s="6"/>
      <c r="F95" s="6"/>
      <c r="G95" s="34"/>
      <c r="H95" s="35"/>
    </row>
    <row r="96" spans="1:9" ht="45.75" thickBot="1" x14ac:dyDescent="0.3">
      <c r="A96" s="2" t="s">
        <v>19</v>
      </c>
      <c r="B96" s="6"/>
      <c r="C96" s="7"/>
      <c r="D96" s="6"/>
      <c r="E96" s="6"/>
      <c r="F96" s="6"/>
      <c r="G96" s="38">
        <v>0</v>
      </c>
      <c r="H96" s="39"/>
    </row>
    <row r="97" spans="1:10" ht="45.75" thickBot="1" x14ac:dyDescent="0.3">
      <c r="A97" s="2" t="s">
        <v>20</v>
      </c>
      <c r="B97" s="6">
        <f>G97*56%</f>
        <v>1212.96</v>
      </c>
      <c r="C97" s="7"/>
      <c r="D97" s="6"/>
      <c r="E97" s="6">
        <f>G97-B97</f>
        <v>953.04</v>
      </c>
      <c r="F97" s="6"/>
      <c r="G97" s="34">
        <v>2166</v>
      </c>
      <c r="H97" s="35"/>
    </row>
    <row r="98" spans="1:10" ht="30.75" thickBot="1" x14ac:dyDescent="0.3">
      <c r="A98" s="2" t="s">
        <v>21</v>
      </c>
      <c r="B98" s="6">
        <f>G98*56%</f>
        <v>4348.96</v>
      </c>
      <c r="C98" s="6"/>
      <c r="D98" s="28">
        <f>G98-B98</f>
        <v>3417.04</v>
      </c>
      <c r="E98" s="7" t="s">
        <v>8</v>
      </c>
      <c r="F98" s="7" t="s">
        <v>8</v>
      </c>
      <c r="G98" s="34">
        <f>22766-G93</f>
        <v>7766</v>
      </c>
      <c r="H98" s="35"/>
    </row>
    <row r="99" spans="1:10" ht="15.75" thickBot="1" x14ac:dyDescent="0.3">
      <c r="A99" s="3" t="s">
        <v>22</v>
      </c>
      <c r="B99" s="6">
        <f>G99*56%</f>
        <v>374.64000000000004</v>
      </c>
      <c r="C99" s="6"/>
      <c r="D99" s="28">
        <f>G99-B99</f>
        <v>294.35999999999996</v>
      </c>
      <c r="E99" s="7" t="s">
        <v>8</v>
      </c>
      <c r="F99" s="7" t="s">
        <v>8</v>
      </c>
      <c r="G99" s="34">
        <f>529+140</f>
        <v>669</v>
      </c>
      <c r="H99" s="35"/>
    </row>
    <row r="100" spans="1:10" ht="15.75" thickBot="1" x14ac:dyDescent="0.3">
      <c r="A100" s="3" t="s">
        <v>23</v>
      </c>
      <c r="B100" s="7" t="s">
        <v>8</v>
      </c>
      <c r="C100" s="11"/>
      <c r="D100" s="7" t="s">
        <v>8</v>
      </c>
      <c r="E100" s="7" t="s">
        <v>8</v>
      </c>
      <c r="F100" s="7" t="s">
        <v>8</v>
      </c>
      <c r="G100" s="38"/>
      <c r="H100" s="39"/>
    </row>
    <row r="101" spans="1:10" ht="15.75" thickBot="1" x14ac:dyDescent="0.3">
      <c r="A101" s="3" t="s">
        <v>24</v>
      </c>
      <c r="B101" s="6">
        <f>G101*56%</f>
        <v>0</v>
      </c>
      <c r="C101" s="6"/>
      <c r="D101" s="6"/>
      <c r="E101" s="7" t="s">
        <v>8</v>
      </c>
      <c r="F101" s="7" t="s">
        <v>8</v>
      </c>
      <c r="G101" s="34"/>
      <c r="H101" s="35"/>
    </row>
    <row r="102" spans="1:10" ht="15.75" thickBot="1" x14ac:dyDescent="0.3">
      <c r="A102" s="4" t="s">
        <v>25</v>
      </c>
      <c r="B102" s="6">
        <f>SUM(B86:B101)</f>
        <v>89645.440000000002</v>
      </c>
      <c r="C102" s="6"/>
      <c r="D102" s="6">
        <f>SUM(D86:D101)</f>
        <v>31310.52</v>
      </c>
      <c r="E102" s="6">
        <f>SUM(E86:E101)</f>
        <v>5453.04</v>
      </c>
      <c r="F102" s="6"/>
      <c r="G102" s="34">
        <f>SUM(G86:H101)</f>
        <v>136909</v>
      </c>
      <c r="H102" s="35"/>
    </row>
    <row r="103" spans="1:10" x14ac:dyDescent="0.25">
      <c r="A103" s="36" t="s">
        <v>26</v>
      </c>
      <c r="B103" s="36"/>
      <c r="C103" s="36"/>
      <c r="D103" s="36"/>
      <c r="E103" s="36"/>
      <c r="F103" s="36"/>
      <c r="G103" s="36"/>
      <c r="H103" s="36"/>
    </row>
    <row r="104" spans="1:10" x14ac:dyDescent="0.25">
      <c r="A104" s="37" t="s">
        <v>27</v>
      </c>
      <c r="B104" s="37"/>
      <c r="C104" s="37"/>
      <c r="D104" s="37"/>
      <c r="E104" s="37"/>
      <c r="F104" s="37"/>
      <c r="G104" s="37"/>
      <c r="H104" s="37"/>
      <c r="J104" s="9"/>
    </row>
    <row r="105" spans="1:10" x14ac:dyDescent="0.25">
      <c r="A105" s="37" t="s">
        <v>28</v>
      </c>
      <c r="B105" s="37"/>
      <c r="C105" s="37"/>
      <c r="D105" s="37"/>
      <c r="E105" s="37"/>
      <c r="F105" s="37"/>
      <c r="G105" s="37"/>
      <c r="H105" s="37"/>
    </row>
    <row r="106" spans="1:10" x14ac:dyDescent="0.25">
      <c r="A106" s="1"/>
      <c r="B106" s="8"/>
      <c r="C106" s="8"/>
      <c r="D106" s="8"/>
      <c r="E106" s="8"/>
      <c r="F106" s="8"/>
      <c r="G106" s="8"/>
      <c r="H106" s="8"/>
    </row>
    <row r="107" spans="1:10" ht="15.75" x14ac:dyDescent="0.25">
      <c r="A107" s="5"/>
    </row>
    <row r="108" spans="1:10" x14ac:dyDescent="0.25">
      <c r="B108" s="12" t="s">
        <v>82</v>
      </c>
      <c r="C108" s="12">
        <v>79900</v>
      </c>
    </row>
    <row r="109" spans="1:10" x14ac:dyDescent="0.25">
      <c r="B109" s="9">
        <f>C108-B102</f>
        <v>-9745.4400000000023</v>
      </c>
      <c r="C109"/>
      <c r="D109"/>
      <c r="E109"/>
      <c r="F109"/>
      <c r="G109"/>
      <c r="H109"/>
    </row>
    <row r="116" spans="1:9" x14ac:dyDescent="0.25">
      <c r="A116" s="29"/>
      <c r="B116" s="30"/>
      <c r="C116" s="30"/>
      <c r="D116" s="30"/>
      <c r="E116" s="56" t="s">
        <v>29</v>
      </c>
      <c r="F116" s="56"/>
      <c r="G116" s="56"/>
      <c r="H116" s="56"/>
    </row>
    <row r="117" spans="1:9" x14ac:dyDescent="0.25">
      <c r="A117" s="57"/>
      <c r="B117" s="58"/>
      <c r="C117" s="58"/>
      <c r="D117" s="59"/>
      <c r="E117" s="59" t="s">
        <v>0</v>
      </c>
      <c r="F117" s="59"/>
      <c r="G117" s="59"/>
      <c r="H117" s="59"/>
    </row>
    <row r="118" spans="1:9" x14ac:dyDescent="0.25">
      <c r="A118" s="57"/>
      <c r="B118" s="58"/>
      <c r="C118" s="58"/>
      <c r="D118" s="59"/>
      <c r="E118" s="59" t="s">
        <v>1</v>
      </c>
      <c r="F118" s="59"/>
      <c r="G118" s="59"/>
      <c r="H118" s="59"/>
    </row>
    <row r="119" spans="1:9" ht="15.75" thickBot="1" x14ac:dyDescent="0.3">
      <c r="A119" s="42" t="s">
        <v>83</v>
      </c>
      <c r="B119" s="42"/>
      <c r="C119" s="42"/>
      <c r="D119" s="42"/>
      <c r="E119" s="42"/>
      <c r="F119" s="42"/>
      <c r="G119" s="43"/>
      <c r="H119" s="43"/>
    </row>
    <row r="120" spans="1:9" ht="15.75" thickBot="1" x14ac:dyDescent="0.3">
      <c r="A120" s="44" t="s">
        <v>2</v>
      </c>
      <c r="B120" s="47" t="s">
        <v>30</v>
      </c>
      <c r="C120" s="48"/>
      <c r="D120" s="48"/>
      <c r="E120" s="48"/>
      <c r="F120" s="48"/>
      <c r="G120" s="49" t="s">
        <v>3</v>
      </c>
      <c r="H120" s="50"/>
    </row>
    <row r="121" spans="1:9" ht="105.75" thickBot="1" x14ac:dyDescent="0.3">
      <c r="A121" s="45"/>
      <c r="B121" s="40" t="s">
        <v>30</v>
      </c>
      <c r="C121" s="51"/>
      <c r="D121" s="27" t="s">
        <v>32</v>
      </c>
      <c r="E121" s="51" t="s">
        <v>4</v>
      </c>
      <c r="F121" s="41"/>
      <c r="G121" s="52"/>
      <c r="H121" s="53"/>
    </row>
    <row r="122" spans="1:9" ht="150.75" thickBot="1" x14ac:dyDescent="0.3">
      <c r="A122" s="46"/>
      <c r="B122" s="33" t="s">
        <v>36</v>
      </c>
      <c r="C122" s="33" t="s">
        <v>5</v>
      </c>
      <c r="D122" s="33" t="s">
        <v>33</v>
      </c>
      <c r="E122" s="33" t="s">
        <v>34</v>
      </c>
      <c r="F122" s="33" t="s">
        <v>35</v>
      </c>
      <c r="G122" s="54"/>
      <c r="H122" s="55"/>
    </row>
    <row r="123" spans="1:9" ht="15.75" thickBot="1" x14ac:dyDescent="0.3">
      <c r="A123" s="26">
        <v>1</v>
      </c>
      <c r="B123" s="33">
        <v>2</v>
      </c>
      <c r="C123" s="10">
        <v>3</v>
      </c>
      <c r="D123" s="33">
        <v>4</v>
      </c>
      <c r="E123" s="10">
        <v>5</v>
      </c>
      <c r="F123" s="33">
        <v>6</v>
      </c>
      <c r="G123" s="40" t="s">
        <v>37</v>
      </c>
      <c r="H123" s="41"/>
    </row>
    <row r="124" spans="1:9" ht="60.75" thickBot="1" x14ac:dyDescent="0.3">
      <c r="A124" s="2" t="s">
        <v>7</v>
      </c>
      <c r="B124" s="6">
        <f>B125</f>
        <v>82152.960000000006</v>
      </c>
      <c r="C124" s="11"/>
      <c r="D124" s="6">
        <f>D125</f>
        <v>25943.039999999994</v>
      </c>
      <c r="E124" s="7" t="s">
        <v>8</v>
      </c>
      <c r="F124" s="7" t="s">
        <v>8</v>
      </c>
      <c r="G124" s="34">
        <f>108765-669</f>
        <v>108096</v>
      </c>
      <c r="H124" s="35"/>
    </row>
    <row r="125" spans="1:9" ht="15.75" thickBot="1" x14ac:dyDescent="0.3">
      <c r="A125" s="3" t="s">
        <v>9</v>
      </c>
      <c r="B125" s="6">
        <f>G125*76%</f>
        <v>82152.960000000006</v>
      </c>
      <c r="C125" s="11"/>
      <c r="D125" s="28">
        <f>G125-B125</f>
        <v>25943.039999999994</v>
      </c>
      <c r="E125" s="7" t="s">
        <v>8</v>
      </c>
      <c r="F125" s="7" t="s">
        <v>8</v>
      </c>
      <c r="G125" s="34">
        <f>G124-G126</f>
        <v>108096</v>
      </c>
      <c r="H125" s="35"/>
    </row>
    <row r="126" spans="1:9" ht="15.75" thickBot="1" x14ac:dyDescent="0.3">
      <c r="A126" s="2" t="s">
        <v>10</v>
      </c>
      <c r="B126" s="6">
        <v>0</v>
      </c>
      <c r="C126" s="11"/>
      <c r="D126" s="6">
        <v>0</v>
      </c>
      <c r="E126" s="7" t="s">
        <v>8</v>
      </c>
      <c r="F126" s="7" t="s">
        <v>8</v>
      </c>
      <c r="G126" s="34"/>
      <c r="H126" s="35"/>
    </row>
    <row r="127" spans="1:9" ht="60.75" thickBot="1" x14ac:dyDescent="0.3">
      <c r="A127" s="2" t="s">
        <v>11</v>
      </c>
      <c r="B127" s="6">
        <f>G127*76%</f>
        <v>25482.04</v>
      </c>
      <c r="C127" s="11"/>
      <c r="D127" s="28">
        <f>G127-B127</f>
        <v>8046.9599999999991</v>
      </c>
      <c r="E127" s="7" t="s">
        <v>8</v>
      </c>
      <c r="F127" s="7" t="s">
        <v>8</v>
      </c>
      <c r="G127" s="34">
        <f>33864-335</f>
        <v>33529</v>
      </c>
      <c r="H127" s="35"/>
    </row>
    <row r="128" spans="1:9" ht="30.75" thickBot="1" x14ac:dyDescent="0.3">
      <c r="A128" s="2" t="s">
        <v>12</v>
      </c>
      <c r="B128" s="6">
        <f>G128*76%</f>
        <v>763.04</v>
      </c>
      <c r="C128" s="11"/>
      <c r="D128" s="28">
        <f>G128-B128</f>
        <v>240.96000000000004</v>
      </c>
      <c r="E128" s="7" t="s">
        <v>8</v>
      </c>
      <c r="F128" s="7" t="s">
        <v>8</v>
      </c>
      <c r="G128" s="34">
        <f>335+669</f>
        <v>1004</v>
      </c>
      <c r="H128" s="35"/>
      <c r="I128" s="9">
        <f>G128+G127+G124</f>
        <v>142629</v>
      </c>
    </row>
    <row r="129" spans="1:10" ht="15.75" thickBot="1" x14ac:dyDescent="0.3">
      <c r="A129" s="2" t="s">
        <v>13</v>
      </c>
      <c r="B129" s="6">
        <f>G129*56%</f>
        <v>0</v>
      </c>
      <c r="C129" s="6"/>
      <c r="D129" s="28">
        <f>G129-B129</f>
        <v>0</v>
      </c>
      <c r="E129" s="7" t="s">
        <v>8</v>
      </c>
      <c r="F129" s="7" t="s">
        <v>8</v>
      </c>
      <c r="G129" s="34">
        <v>0</v>
      </c>
      <c r="H129" s="35"/>
    </row>
    <row r="130" spans="1:10" ht="30.75" thickBot="1" x14ac:dyDescent="0.3">
      <c r="A130" s="2" t="s">
        <v>14</v>
      </c>
      <c r="B130" s="6">
        <f>G130*56%</f>
        <v>3209.9200000000005</v>
      </c>
      <c r="C130" s="6"/>
      <c r="D130" s="28">
        <f>G130-B130</f>
        <v>2522.0799999999995</v>
      </c>
      <c r="E130" s="7" t="s">
        <v>8</v>
      </c>
      <c r="F130" s="7" t="s">
        <v>8</v>
      </c>
      <c r="G130" s="34">
        <v>5732</v>
      </c>
      <c r="H130" s="35"/>
    </row>
    <row r="131" spans="1:10" ht="45.75" thickBot="1" x14ac:dyDescent="0.3">
      <c r="A131" s="2" t="s">
        <v>15</v>
      </c>
      <c r="B131" s="7" t="s">
        <v>8</v>
      </c>
      <c r="C131" s="7" t="s">
        <v>8</v>
      </c>
      <c r="D131" s="6"/>
      <c r="E131" s="7" t="s">
        <v>8</v>
      </c>
      <c r="F131" s="7" t="s">
        <v>8</v>
      </c>
      <c r="G131" s="34"/>
      <c r="H131" s="35"/>
    </row>
    <row r="132" spans="1:10" ht="15.75" thickBot="1" x14ac:dyDescent="0.3">
      <c r="A132" s="2" t="s">
        <v>16</v>
      </c>
      <c r="B132" s="7" t="s">
        <v>8</v>
      </c>
      <c r="C132" s="7" t="s">
        <v>8</v>
      </c>
      <c r="D132" s="11"/>
      <c r="E132" s="6">
        <v>6000</v>
      </c>
      <c r="F132" s="6"/>
      <c r="G132" s="34">
        <v>20000</v>
      </c>
      <c r="H132" s="35"/>
    </row>
    <row r="133" spans="1:10" ht="15.75" thickBot="1" x14ac:dyDescent="0.3">
      <c r="A133" s="3" t="s">
        <v>17</v>
      </c>
      <c r="B133" s="6">
        <f>G133*56%</f>
        <v>0</v>
      </c>
      <c r="C133" s="7"/>
      <c r="D133" s="6"/>
      <c r="E133" s="6">
        <f>G133-B133</f>
        <v>0</v>
      </c>
      <c r="F133" s="6"/>
      <c r="G133" s="34">
        <v>0</v>
      </c>
      <c r="H133" s="35"/>
    </row>
    <row r="134" spans="1:10" ht="15.75" thickBot="1" x14ac:dyDescent="0.3">
      <c r="A134" s="3" t="s">
        <v>18</v>
      </c>
      <c r="B134" s="6"/>
      <c r="C134" s="7"/>
      <c r="D134" s="7"/>
      <c r="E134" s="6"/>
      <c r="F134" s="6"/>
      <c r="G134" s="34"/>
      <c r="H134" s="35"/>
    </row>
    <row r="135" spans="1:10" ht="45.75" thickBot="1" x14ac:dyDescent="0.3">
      <c r="A135" s="2" t="s">
        <v>19</v>
      </c>
      <c r="B135" s="6"/>
      <c r="C135" s="7"/>
      <c r="D135" s="6"/>
      <c r="E135" s="6"/>
      <c r="F135" s="6"/>
      <c r="G135" s="38"/>
      <c r="H135" s="39"/>
    </row>
    <row r="136" spans="1:10" ht="45.75" thickBot="1" x14ac:dyDescent="0.3">
      <c r="A136" s="2" t="s">
        <v>20</v>
      </c>
      <c r="B136" s="6">
        <f>G136*56%</f>
        <v>1616.7200000000003</v>
      </c>
      <c r="C136" s="7"/>
      <c r="D136" s="6"/>
      <c r="E136" s="6">
        <f>G136-B136</f>
        <v>1270.2799999999997</v>
      </c>
      <c r="F136" s="6"/>
      <c r="G136" s="34">
        <v>2887</v>
      </c>
      <c r="H136" s="35"/>
    </row>
    <row r="137" spans="1:10" ht="30.75" thickBot="1" x14ac:dyDescent="0.3">
      <c r="A137" s="2" t="s">
        <v>21</v>
      </c>
      <c r="B137" s="6">
        <f>G137*56%</f>
        <v>6639.920000000001</v>
      </c>
      <c r="C137" s="6"/>
      <c r="D137" s="28">
        <f>G137-B137</f>
        <v>5217.079999999999</v>
      </c>
      <c r="E137" s="7" t="s">
        <v>8</v>
      </c>
      <c r="F137" s="7" t="s">
        <v>8</v>
      </c>
      <c r="G137" s="34">
        <f>31857-G132</f>
        <v>11857</v>
      </c>
      <c r="H137" s="35"/>
    </row>
    <row r="138" spans="1:10" ht="15.75" thickBot="1" x14ac:dyDescent="0.3">
      <c r="A138" s="3" t="s">
        <v>22</v>
      </c>
      <c r="B138" s="6">
        <f>G138*56%</f>
        <v>1177.1200000000001</v>
      </c>
      <c r="C138" s="6"/>
      <c r="D138" s="28">
        <f>G138-B138</f>
        <v>924.87999999999988</v>
      </c>
      <c r="E138" s="7" t="s">
        <v>8</v>
      </c>
      <c r="F138" s="7" t="s">
        <v>8</v>
      </c>
      <c r="G138" s="34">
        <f>1609+493</f>
        <v>2102</v>
      </c>
      <c r="H138" s="35"/>
    </row>
    <row r="139" spans="1:10" ht="15.75" thickBot="1" x14ac:dyDescent="0.3">
      <c r="A139" s="3" t="s">
        <v>23</v>
      </c>
      <c r="B139" s="7" t="s">
        <v>8</v>
      </c>
      <c r="C139" s="11"/>
      <c r="D139" s="7" t="s">
        <v>8</v>
      </c>
      <c r="E139" s="7" t="s">
        <v>8</v>
      </c>
      <c r="F139" s="7" t="s">
        <v>8</v>
      </c>
      <c r="G139" s="38"/>
      <c r="H139" s="39"/>
    </row>
    <row r="140" spans="1:10" ht="15.75" thickBot="1" x14ac:dyDescent="0.3">
      <c r="A140" s="3" t="s">
        <v>24</v>
      </c>
      <c r="B140" s="6">
        <f>G140*56%</f>
        <v>0</v>
      </c>
      <c r="C140" s="6"/>
      <c r="D140" s="6"/>
      <c r="E140" s="7" t="s">
        <v>8</v>
      </c>
      <c r="F140" s="7" t="s">
        <v>8</v>
      </c>
      <c r="G140" s="34"/>
      <c r="H140" s="35"/>
    </row>
    <row r="141" spans="1:10" ht="15.75" thickBot="1" x14ac:dyDescent="0.3">
      <c r="A141" s="4" t="s">
        <v>25</v>
      </c>
      <c r="B141" s="6">
        <f>SUM(B125:B140)</f>
        <v>121041.71999999999</v>
      </c>
      <c r="C141" s="6"/>
      <c r="D141" s="6">
        <f>SUM(D125:D140)</f>
        <v>42894.999999999993</v>
      </c>
      <c r="E141" s="6">
        <f>SUM(E125:E140)</f>
        <v>7270.28</v>
      </c>
      <c r="F141" s="6"/>
      <c r="G141" s="34">
        <f>SUM(G125:H140)</f>
        <v>185207</v>
      </c>
      <c r="H141" s="35"/>
    </row>
    <row r="142" spans="1:10" x14ac:dyDescent="0.25">
      <c r="A142" s="36" t="s">
        <v>26</v>
      </c>
      <c r="B142" s="36"/>
      <c r="C142" s="36"/>
      <c r="D142" s="36"/>
      <c r="E142" s="36"/>
      <c r="F142" s="36"/>
      <c r="G142" s="36"/>
      <c r="H142" s="36"/>
    </row>
    <row r="143" spans="1:10" x14ac:dyDescent="0.25">
      <c r="A143" s="37" t="s">
        <v>27</v>
      </c>
      <c r="B143" s="37"/>
      <c r="C143" s="37"/>
      <c r="D143" s="37"/>
      <c r="E143" s="37"/>
      <c r="F143" s="37"/>
      <c r="G143" s="37"/>
      <c r="H143" s="37"/>
    </row>
    <row r="144" spans="1:10" x14ac:dyDescent="0.25">
      <c r="A144" s="37" t="s">
        <v>28</v>
      </c>
      <c r="B144" s="37"/>
      <c r="C144" s="37"/>
      <c r="D144" s="37"/>
      <c r="E144" s="37"/>
      <c r="F144" s="37"/>
      <c r="G144" s="37"/>
      <c r="H144" s="37"/>
      <c r="J144" s="9"/>
    </row>
    <row r="145" spans="1:8" x14ac:dyDescent="0.25">
      <c r="A145" s="1"/>
      <c r="B145" s="8"/>
      <c r="C145" s="8"/>
      <c r="D145" s="8"/>
      <c r="E145" s="8"/>
      <c r="F145" s="8"/>
      <c r="G145" s="8"/>
      <c r="H145" s="8"/>
    </row>
    <row r="146" spans="1:8" ht="15.75" x14ac:dyDescent="0.25">
      <c r="A146" s="5"/>
    </row>
    <row r="147" spans="1:8" x14ac:dyDescent="0.25">
      <c r="B147" s="12" t="s">
        <v>84</v>
      </c>
      <c r="C147" s="12">
        <v>111100</v>
      </c>
    </row>
    <row r="148" spans="1:8" x14ac:dyDescent="0.25">
      <c r="B148" s="9">
        <f>C147-B141</f>
        <v>-9941.7199999999866</v>
      </c>
      <c r="C148"/>
      <c r="D148"/>
      <c r="E148"/>
      <c r="F148"/>
      <c r="G148"/>
      <c r="H148"/>
    </row>
    <row r="155" spans="1:8" x14ac:dyDescent="0.25">
      <c r="A155" s="29"/>
      <c r="B155" s="30"/>
      <c r="C155" s="30"/>
      <c r="D155" s="30"/>
      <c r="E155" s="56" t="s">
        <v>29</v>
      </c>
      <c r="F155" s="56"/>
      <c r="G155" s="56"/>
      <c r="H155" s="56"/>
    </row>
    <row r="156" spans="1:8" x14ac:dyDescent="0.25">
      <c r="A156" s="57"/>
      <c r="B156" s="58"/>
      <c r="C156" s="58"/>
      <c r="D156" s="59"/>
      <c r="E156" s="59" t="s">
        <v>0</v>
      </c>
      <c r="F156" s="59"/>
      <c r="G156" s="59"/>
      <c r="H156" s="59"/>
    </row>
    <row r="157" spans="1:8" x14ac:dyDescent="0.25">
      <c r="A157" s="57"/>
      <c r="B157" s="58"/>
      <c r="C157" s="58"/>
      <c r="D157" s="59"/>
      <c r="E157" s="59" t="s">
        <v>1</v>
      </c>
      <c r="F157" s="59"/>
      <c r="G157" s="59"/>
      <c r="H157" s="59"/>
    </row>
    <row r="158" spans="1:8" ht="15.75" thickBot="1" x14ac:dyDescent="0.3">
      <c r="A158" s="42" t="s">
        <v>85</v>
      </c>
      <c r="B158" s="42"/>
      <c r="C158" s="42"/>
      <c r="D158" s="42"/>
      <c r="E158" s="42"/>
      <c r="F158" s="42"/>
      <c r="G158" s="43"/>
      <c r="H158" s="43"/>
    </row>
    <row r="159" spans="1:8" ht="15.75" thickBot="1" x14ac:dyDescent="0.3">
      <c r="A159" s="44" t="s">
        <v>2</v>
      </c>
      <c r="B159" s="47" t="s">
        <v>30</v>
      </c>
      <c r="C159" s="48"/>
      <c r="D159" s="48"/>
      <c r="E159" s="48"/>
      <c r="F159" s="48"/>
      <c r="G159" s="49" t="s">
        <v>3</v>
      </c>
      <c r="H159" s="50"/>
    </row>
    <row r="160" spans="1:8" ht="105.75" thickBot="1" x14ac:dyDescent="0.3">
      <c r="A160" s="45"/>
      <c r="B160" s="40" t="s">
        <v>30</v>
      </c>
      <c r="C160" s="51"/>
      <c r="D160" s="27" t="s">
        <v>32</v>
      </c>
      <c r="E160" s="51" t="s">
        <v>4</v>
      </c>
      <c r="F160" s="41"/>
      <c r="G160" s="52"/>
      <c r="H160" s="53"/>
    </row>
    <row r="161" spans="1:10" ht="150.75" thickBot="1" x14ac:dyDescent="0.3">
      <c r="A161" s="46"/>
      <c r="B161" s="33" t="s">
        <v>36</v>
      </c>
      <c r="C161" s="33" t="s">
        <v>5</v>
      </c>
      <c r="D161" s="33" t="s">
        <v>33</v>
      </c>
      <c r="E161" s="33" t="s">
        <v>34</v>
      </c>
      <c r="F161" s="33" t="s">
        <v>35</v>
      </c>
      <c r="G161" s="54"/>
      <c r="H161" s="55"/>
    </row>
    <row r="162" spans="1:10" ht="15.75" thickBot="1" x14ac:dyDescent="0.3">
      <c r="A162" s="26">
        <v>1</v>
      </c>
      <c r="B162" s="33">
        <v>2</v>
      </c>
      <c r="C162" s="10">
        <v>3</v>
      </c>
      <c r="D162" s="33">
        <v>4</v>
      </c>
      <c r="E162" s="10">
        <v>5</v>
      </c>
      <c r="F162" s="33">
        <v>6</v>
      </c>
      <c r="G162" s="40" t="s">
        <v>37</v>
      </c>
      <c r="H162" s="41"/>
    </row>
    <row r="163" spans="1:10" ht="60.75" thickBot="1" x14ac:dyDescent="0.3">
      <c r="A163" s="2" t="s">
        <v>7</v>
      </c>
      <c r="B163" s="6">
        <f>B164</f>
        <v>102512.6</v>
      </c>
      <c r="C163" s="11"/>
      <c r="D163" s="6">
        <f>D164</f>
        <v>32372.399999999994</v>
      </c>
      <c r="E163" s="7" t="s">
        <v>8</v>
      </c>
      <c r="F163" s="7" t="s">
        <v>8</v>
      </c>
      <c r="G163" s="34">
        <f>135716-831</f>
        <v>134885</v>
      </c>
      <c r="H163" s="35"/>
    </row>
    <row r="164" spans="1:10" ht="15.75" thickBot="1" x14ac:dyDescent="0.3">
      <c r="A164" s="3" t="s">
        <v>9</v>
      </c>
      <c r="B164" s="6">
        <f>G164*76%</f>
        <v>102512.6</v>
      </c>
      <c r="C164" s="11"/>
      <c r="D164" s="28">
        <f>G164-B164</f>
        <v>32372.399999999994</v>
      </c>
      <c r="E164" s="7" t="s">
        <v>8</v>
      </c>
      <c r="F164" s="7" t="s">
        <v>8</v>
      </c>
      <c r="G164" s="34">
        <f>G163-G165</f>
        <v>134885</v>
      </c>
      <c r="H164" s="35"/>
    </row>
    <row r="165" spans="1:10" ht="15.75" thickBot="1" x14ac:dyDescent="0.3">
      <c r="A165" s="2" t="s">
        <v>10</v>
      </c>
      <c r="B165" s="6">
        <v>0</v>
      </c>
      <c r="C165" s="11"/>
      <c r="D165" s="6">
        <v>0</v>
      </c>
      <c r="E165" s="7" t="s">
        <v>8</v>
      </c>
      <c r="F165" s="7" t="s">
        <v>8</v>
      </c>
      <c r="G165" s="60"/>
      <c r="H165" s="35"/>
    </row>
    <row r="166" spans="1:10" ht="60.75" thickBot="1" x14ac:dyDescent="0.3">
      <c r="A166" s="2" t="s">
        <v>11</v>
      </c>
      <c r="B166" s="6">
        <f>G166*76%</f>
        <v>32025.64</v>
      </c>
      <c r="C166" s="11"/>
      <c r="D166" s="28">
        <f>G166-B166</f>
        <v>10113.36</v>
      </c>
      <c r="E166" s="7" t="s">
        <v>8</v>
      </c>
      <c r="F166" s="7" t="s">
        <v>8</v>
      </c>
      <c r="G166" s="34">
        <f>42538-399</f>
        <v>42139</v>
      </c>
      <c r="H166" s="35"/>
    </row>
    <row r="167" spans="1:10" ht="30.75" thickBot="1" x14ac:dyDescent="0.3">
      <c r="A167" s="2" t="s">
        <v>12</v>
      </c>
      <c r="B167" s="6">
        <f>G167*76%</f>
        <v>934.8</v>
      </c>
      <c r="C167" s="11"/>
      <c r="D167" s="28">
        <f>G167-B167</f>
        <v>295.20000000000005</v>
      </c>
      <c r="E167" s="7" t="s">
        <v>8</v>
      </c>
      <c r="F167" s="7" t="s">
        <v>8</v>
      </c>
      <c r="G167" s="34">
        <f>831+399</f>
        <v>1230</v>
      </c>
      <c r="H167" s="35"/>
      <c r="J167" s="9"/>
    </row>
    <row r="168" spans="1:10" ht="15.75" thickBot="1" x14ac:dyDescent="0.3">
      <c r="A168" s="2" t="s">
        <v>13</v>
      </c>
      <c r="B168" s="6">
        <f>G168*56%</f>
        <v>0</v>
      </c>
      <c r="C168" s="6"/>
      <c r="D168" s="28">
        <f>G168-B168</f>
        <v>0</v>
      </c>
      <c r="E168" s="7" t="s">
        <v>8</v>
      </c>
      <c r="F168" s="7" t="s">
        <v>8</v>
      </c>
      <c r="G168" s="34">
        <v>0</v>
      </c>
      <c r="H168" s="35"/>
    </row>
    <row r="169" spans="1:10" ht="30.75" thickBot="1" x14ac:dyDescent="0.3">
      <c r="A169" s="2" t="s">
        <v>14</v>
      </c>
      <c r="B169" s="6">
        <f>G169*56%</f>
        <v>4279.5200000000004</v>
      </c>
      <c r="C169" s="6"/>
      <c r="D169" s="28">
        <f>G169-B169</f>
        <v>3362.4799999999996</v>
      </c>
      <c r="E169" s="7" t="s">
        <v>8</v>
      </c>
      <c r="F169" s="7" t="s">
        <v>8</v>
      </c>
      <c r="G169" s="34">
        <v>7642</v>
      </c>
      <c r="H169" s="35"/>
      <c r="J169" s="9"/>
    </row>
    <row r="170" spans="1:10" ht="45.75" thickBot="1" x14ac:dyDescent="0.3">
      <c r="A170" s="2" t="s">
        <v>15</v>
      </c>
      <c r="B170" s="7" t="s">
        <v>8</v>
      </c>
      <c r="C170" s="7" t="s">
        <v>8</v>
      </c>
      <c r="D170" s="6"/>
      <c r="E170" s="7" t="s">
        <v>8</v>
      </c>
      <c r="F170" s="7" t="s">
        <v>8</v>
      </c>
      <c r="G170" s="34"/>
      <c r="H170" s="35"/>
    </row>
    <row r="171" spans="1:10" ht="15.75" thickBot="1" x14ac:dyDescent="0.3">
      <c r="A171" s="2" t="s">
        <v>16</v>
      </c>
      <c r="B171" s="7" t="s">
        <v>8</v>
      </c>
      <c r="C171" s="7" t="s">
        <v>8</v>
      </c>
      <c r="D171" s="11"/>
      <c r="E171" s="6">
        <v>12000</v>
      </c>
      <c r="F171" s="6"/>
      <c r="G171" s="34">
        <v>25000</v>
      </c>
      <c r="H171" s="35"/>
    </row>
    <row r="172" spans="1:10" ht="15.75" thickBot="1" x14ac:dyDescent="0.3">
      <c r="A172" s="3" t="s">
        <v>17</v>
      </c>
      <c r="B172" s="6">
        <f>G172*56%</f>
        <v>0</v>
      </c>
      <c r="C172" s="7"/>
      <c r="D172" s="6"/>
      <c r="E172" s="6">
        <f>G172-B172</f>
        <v>0</v>
      </c>
      <c r="F172" s="6"/>
      <c r="G172" s="34">
        <v>0</v>
      </c>
      <c r="H172" s="35"/>
    </row>
    <row r="173" spans="1:10" ht="15.75" thickBot="1" x14ac:dyDescent="0.3">
      <c r="A173" s="3" t="s">
        <v>18</v>
      </c>
      <c r="B173" s="6"/>
      <c r="C173" s="7"/>
      <c r="D173" s="7"/>
      <c r="E173" s="6"/>
      <c r="F173" s="6"/>
      <c r="G173" s="34"/>
      <c r="H173" s="35"/>
    </row>
    <row r="174" spans="1:10" ht="45.75" thickBot="1" x14ac:dyDescent="0.3">
      <c r="A174" s="2" t="s">
        <v>19</v>
      </c>
      <c r="B174" s="6"/>
      <c r="C174" s="7"/>
      <c r="D174" s="6"/>
      <c r="E174" s="6"/>
      <c r="F174" s="6"/>
      <c r="G174" s="38"/>
      <c r="H174" s="39"/>
    </row>
    <row r="175" spans="1:10" ht="45.75" thickBot="1" x14ac:dyDescent="0.3">
      <c r="A175" s="2" t="s">
        <v>20</v>
      </c>
      <c r="B175" s="6">
        <f>G175*56%</f>
        <v>2021.0400000000002</v>
      </c>
      <c r="C175" s="7"/>
      <c r="D175" s="6"/>
      <c r="E175" s="6">
        <f>G175-B175</f>
        <v>1587.9599999999998</v>
      </c>
      <c r="F175" s="6"/>
      <c r="G175" s="34">
        <v>3609</v>
      </c>
      <c r="H175" s="35"/>
    </row>
    <row r="176" spans="1:10" ht="30.75" thickBot="1" x14ac:dyDescent="0.3">
      <c r="A176" s="2" t="s">
        <v>21</v>
      </c>
      <c r="B176" s="6">
        <f>G176*56%</f>
        <v>7137.2000000000007</v>
      </c>
      <c r="C176" s="6"/>
      <c r="D176" s="28">
        <f>G176-B176</f>
        <v>5607.7999999999993</v>
      </c>
      <c r="E176" s="7" t="s">
        <v>8</v>
      </c>
      <c r="F176" s="7" t="s">
        <v>8</v>
      </c>
      <c r="G176" s="34">
        <f>37745-G171</f>
        <v>12745</v>
      </c>
      <c r="H176" s="35"/>
    </row>
    <row r="177" spans="1:11" ht="15.75" thickBot="1" x14ac:dyDescent="0.3">
      <c r="A177" s="3" t="s">
        <v>22</v>
      </c>
      <c r="B177" s="6">
        <f>G177*56%</f>
        <v>1268.96</v>
      </c>
      <c r="C177" s="6"/>
      <c r="D177" s="28">
        <f>G177-B177</f>
        <v>997.04</v>
      </c>
      <c r="E177" s="7" t="s">
        <v>8</v>
      </c>
      <c r="F177" s="7" t="s">
        <v>8</v>
      </c>
      <c r="G177" s="34">
        <f>1732+534</f>
        <v>2266</v>
      </c>
      <c r="H177" s="35"/>
    </row>
    <row r="178" spans="1:11" ht="15.75" thickBot="1" x14ac:dyDescent="0.3">
      <c r="A178" s="3" t="s">
        <v>23</v>
      </c>
      <c r="B178" s="7" t="s">
        <v>8</v>
      </c>
      <c r="C178" s="11"/>
      <c r="D178" s="7" t="s">
        <v>8</v>
      </c>
      <c r="E178" s="7" t="s">
        <v>8</v>
      </c>
      <c r="F178" s="7" t="s">
        <v>8</v>
      </c>
      <c r="G178" s="38"/>
      <c r="H178" s="39"/>
    </row>
    <row r="179" spans="1:11" ht="15.75" thickBot="1" x14ac:dyDescent="0.3">
      <c r="A179" s="3" t="s">
        <v>24</v>
      </c>
      <c r="B179" s="6">
        <f>G179*56%</f>
        <v>0</v>
      </c>
      <c r="C179" s="6"/>
      <c r="D179" s="6"/>
      <c r="E179" s="7" t="s">
        <v>8</v>
      </c>
      <c r="F179" s="7" t="s">
        <v>8</v>
      </c>
      <c r="G179" s="34"/>
      <c r="H179" s="35"/>
    </row>
    <row r="180" spans="1:11" ht="15.75" thickBot="1" x14ac:dyDescent="0.3">
      <c r="A180" s="4" t="s">
        <v>25</v>
      </c>
      <c r="B180" s="6">
        <f>SUM(B164:B179)</f>
        <v>150179.75999999998</v>
      </c>
      <c r="C180" s="6"/>
      <c r="D180" s="6">
        <f>SUM(D164:D179)</f>
        <v>52748.279999999992</v>
      </c>
      <c r="E180" s="6">
        <f>SUM(E164:E179)</f>
        <v>13587.96</v>
      </c>
      <c r="F180" s="6"/>
      <c r="G180" s="34">
        <f>SUM(G164:H179)</f>
        <v>229516</v>
      </c>
      <c r="H180" s="35"/>
    </row>
    <row r="181" spans="1:11" x14ac:dyDescent="0.25">
      <c r="A181" s="36" t="s">
        <v>26</v>
      </c>
      <c r="B181" s="36"/>
      <c r="C181" s="36"/>
      <c r="D181" s="36"/>
      <c r="E181" s="36"/>
      <c r="F181" s="36"/>
      <c r="G181" s="36"/>
      <c r="H181" s="36"/>
    </row>
    <row r="182" spans="1:11" x14ac:dyDescent="0.25">
      <c r="A182" s="37" t="s">
        <v>27</v>
      </c>
      <c r="B182" s="37"/>
      <c r="C182" s="37"/>
      <c r="D182" s="37"/>
      <c r="E182" s="37"/>
      <c r="F182" s="37"/>
      <c r="G182" s="37"/>
      <c r="H182" s="37"/>
    </row>
    <row r="183" spans="1:11" x14ac:dyDescent="0.25">
      <c r="A183" s="37" t="s">
        <v>28</v>
      </c>
      <c r="B183" s="37"/>
      <c r="C183" s="37"/>
      <c r="D183" s="37"/>
      <c r="E183" s="37"/>
      <c r="F183" s="37"/>
      <c r="G183" s="37"/>
      <c r="H183" s="37"/>
    </row>
    <row r="184" spans="1:11" x14ac:dyDescent="0.25">
      <c r="A184" s="1"/>
      <c r="B184" s="8"/>
      <c r="C184" s="8"/>
      <c r="D184" s="8"/>
      <c r="E184" s="8"/>
      <c r="F184" s="8"/>
      <c r="G184" s="8"/>
      <c r="H184" s="8"/>
      <c r="K184" s="9"/>
    </row>
    <row r="185" spans="1:11" ht="15.75" x14ac:dyDescent="0.25">
      <c r="A185" s="5"/>
    </row>
    <row r="186" spans="1:11" x14ac:dyDescent="0.25">
      <c r="B186" s="12" t="s">
        <v>86</v>
      </c>
      <c r="C186" s="12">
        <v>173795</v>
      </c>
    </row>
    <row r="187" spans="1:11" x14ac:dyDescent="0.25">
      <c r="C187" s="9">
        <f>C186-B180</f>
        <v>23615.24000000002</v>
      </c>
      <c r="D187"/>
      <c r="E187"/>
      <c r="F187"/>
      <c r="G187"/>
      <c r="H187"/>
    </row>
    <row r="188" spans="1:11" x14ac:dyDescent="0.25">
      <c r="D188"/>
      <c r="E188"/>
      <c r="F188"/>
      <c r="G188"/>
      <c r="H188"/>
    </row>
    <row r="189" spans="1:11" x14ac:dyDescent="0.25">
      <c r="D189"/>
      <c r="E189"/>
      <c r="F189"/>
      <c r="G189"/>
      <c r="H189"/>
    </row>
    <row r="190" spans="1:11" x14ac:dyDescent="0.25">
      <c r="D190"/>
      <c r="E190"/>
      <c r="F190"/>
      <c r="G190"/>
      <c r="H190"/>
    </row>
    <row r="191" spans="1:11" x14ac:dyDescent="0.25">
      <c r="A191" s="29"/>
      <c r="B191" s="30"/>
      <c r="C191" s="30"/>
      <c r="D191" s="30"/>
      <c r="E191" s="56" t="s">
        <v>29</v>
      </c>
      <c r="F191" s="56"/>
      <c r="G191" s="56"/>
      <c r="H191" s="56"/>
    </row>
    <row r="192" spans="1:11" x14ac:dyDescent="0.25">
      <c r="A192" s="57"/>
      <c r="B192" s="58"/>
      <c r="C192" s="58"/>
      <c r="D192" s="59"/>
      <c r="E192" s="59" t="s">
        <v>0</v>
      </c>
      <c r="F192" s="59"/>
      <c r="G192" s="59"/>
      <c r="H192" s="59"/>
    </row>
    <row r="193" spans="1:10" x14ac:dyDescent="0.25">
      <c r="A193" s="57"/>
      <c r="B193" s="58"/>
      <c r="C193" s="58"/>
      <c r="D193" s="59"/>
      <c r="E193" s="59" t="s">
        <v>1</v>
      </c>
      <c r="F193" s="59"/>
      <c r="G193" s="59"/>
      <c r="H193" s="59"/>
    </row>
    <row r="194" spans="1:10" ht="15.75" thickBot="1" x14ac:dyDescent="0.3">
      <c r="A194" s="42" t="s">
        <v>87</v>
      </c>
      <c r="B194" s="42"/>
      <c r="C194" s="42"/>
      <c r="D194" s="42"/>
      <c r="E194" s="42"/>
      <c r="F194" s="42"/>
      <c r="G194" s="43"/>
      <c r="H194" s="43"/>
    </row>
    <row r="195" spans="1:10" ht="15.75" thickBot="1" x14ac:dyDescent="0.3">
      <c r="A195" s="44" t="s">
        <v>2</v>
      </c>
      <c r="B195" s="47" t="s">
        <v>30</v>
      </c>
      <c r="C195" s="48"/>
      <c r="D195" s="48"/>
      <c r="E195" s="48"/>
      <c r="F195" s="48"/>
      <c r="G195" s="49" t="s">
        <v>3</v>
      </c>
      <c r="H195" s="50"/>
    </row>
    <row r="196" spans="1:10" ht="105.75" thickBot="1" x14ac:dyDescent="0.3">
      <c r="A196" s="45"/>
      <c r="B196" s="40" t="s">
        <v>30</v>
      </c>
      <c r="C196" s="51"/>
      <c r="D196" s="27" t="s">
        <v>32</v>
      </c>
      <c r="E196" s="51" t="s">
        <v>4</v>
      </c>
      <c r="F196" s="41"/>
      <c r="G196" s="52"/>
      <c r="H196" s="53"/>
    </row>
    <row r="197" spans="1:10" ht="150.75" thickBot="1" x14ac:dyDescent="0.3">
      <c r="A197" s="46"/>
      <c r="B197" s="33" t="s">
        <v>36</v>
      </c>
      <c r="C197" s="33" t="s">
        <v>5</v>
      </c>
      <c r="D197" s="33" t="s">
        <v>33</v>
      </c>
      <c r="E197" s="33" t="s">
        <v>34</v>
      </c>
      <c r="F197" s="33" t="s">
        <v>35</v>
      </c>
      <c r="G197" s="54"/>
      <c r="H197" s="55"/>
    </row>
    <row r="198" spans="1:10" ht="15.75" thickBot="1" x14ac:dyDescent="0.3">
      <c r="A198" s="26">
        <v>1</v>
      </c>
      <c r="B198" s="33">
        <v>2</v>
      </c>
      <c r="C198" s="10">
        <v>3</v>
      </c>
      <c r="D198" s="33">
        <v>4</v>
      </c>
      <c r="E198" s="10">
        <v>5</v>
      </c>
      <c r="F198" s="33">
        <v>6</v>
      </c>
      <c r="G198" s="40" t="s">
        <v>37</v>
      </c>
      <c r="H198" s="41"/>
    </row>
    <row r="199" spans="1:10" ht="60.75" thickBot="1" x14ac:dyDescent="0.3">
      <c r="A199" s="2" t="s">
        <v>7</v>
      </c>
      <c r="B199" s="6">
        <f>B200</f>
        <v>123982.6</v>
      </c>
      <c r="C199" s="11"/>
      <c r="D199" s="6">
        <f>D200</f>
        <v>39152.399999999994</v>
      </c>
      <c r="E199" s="7" t="s">
        <v>8</v>
      </c>
      <c r="F199" s="7" t="s">
        <v>8</v>
      </c>
      <c r="G199" s="34">
        <f>165041-996-910</f>
        <v>163135</v>
      </c>
      <c r="H199" s="35"/>
    </row>
    <row r="200" spans="1:10" ht="15.75" thickBot="1" x14ac:dyDescent="0.3">
      <c r="A200" s="3" t="s">
        <v>9</v>
      </c>
      <c r="B200" s="6">
        <f>G200*76%</f>
        <v>123982.6</v>
      </c>
      <c r="C200" s="11"/>
      <c r="D200" s="28">
        <f>G200-B200</f>
        <v>39152.399999999994</v>
      </c>
      <c r="E200" s="7" t="s">
        <v>8</v>
      </c>
      <c r="F200" s="7" t="s">
        <v>8</v>
      </c>
      <c r="G200" s="34">
        <f>G199-G201</f>
        <v>163135</v>
      </c>
      <c r="H200" s="35"/>
    </row>
    <row r="201" spans="1:10" ht="15.75" thickBot="1" x14ac:dyDescent="0.3">
      <c r="A201" s="2" t="s">
        <v>10</v>
      </c>
      <c r="B201" s="6">
        <v>0</v>
      </c>
      <c r="C201" s="11"/>
      <c r="D201" s="6">
        <v>0</v>
      </c>
      <c r="E201" s="7" t="s">
        <v>8</v>
      </c>
      <c r="F201" s="7" t="s">
        <v>8</v>
      </c>
      <c r="G201" s="60"/>
      <c r="H201" s="35"/>
    </row>
    <row r="202" spans="1:10" ht="60.75" thickBot="1" x14ac:dyDescent="0.3">
      <c r="A202" s="2" t="s">
        <v>11</v>
      </c>
      <c r="B202" s="6">
        <f>G202*76%</f>
        <v>38568.480000000003</v>
      </c>
      <c r="C202" s="11"/>
      <c r="D202" s="28">
        <f>G202-B202</f>
        <v>12179.519999999997</v>
      </c>
      <c r="E202" s="7" t="s">
        <v>8</v>
      </c>
      <c r="F202" s="7" t="s">
        <v>8</v>
      </c>
      <c r="G202" s="34">
        <f>51209-461</f>
        <v>50748</v>
      </c>
      <c r="H202" s="35"/>
    </row>
    <row r="203" spans="1:10" ht="30.75" thickBot="1" x14ac:dyDescent="0.3">
      <c r="A203" s="2" t="s">
        <v>12</v>
      </c>
      <c r="B203" s="6">
        <f>G203*76%</f>
        <v>1798.92</v>
      </c>
      <c r="C203" s="11"/>
      <c r="D203" s="28">
        <f>G203-B203</f>
        <v>568.07999999999993</v>
      </c>
      <c r="E203" s="7" t="s">
        <v>8</v>
      </c>
      <c r="F203" s="7" t="s">
        <v>8</v>
      </c>
      <c r="G203" s="34">
        <f>996+910+461</f>
        <v>2367</v>
      </c>
      <c r="H203" s="35"/>
    </row>
    <row r="204" spans="1:10" ht="15.75" thickBot="1" x14ac:dyDescent="0.3">
      <c r="A204" s="2" t="s">
        <v>13</v>
      </c>
      <c r="B204" s="6">
        <f>G204*56%</f>
        <v>0</v>
      </c>
      <c r="C204" s="6"/>
      <c r="D204" s="28">
        <f>G204-B204</f>
        <v>0</v>
      </c>
      <c r="E204" s="7" t="s">
        <v>8</v>
      </c>
      <c r="F204" s="7" t="s">
        <v>8</v>
      </c>
      <c r="G204" s="34">
        <v>0</v>
      </c>
      <c r="H204" s="35"/>
    </row>
    <row r="205" spans="1:10" ht="30.75" thickBot="1" x14ac:dyDescent="0.3">
      <c r="A205" s="2" t="s">
        <v>14</v>
      </c>
      <c r="B205" s="6">
        <f>G205*56%</f>
        <v>4658.0800000000008</v>
      </c>
      <c r="C205" s="6"/>
      <c r="D205" s="28">
        <f>G205-B205</f>
        <v>3659.9199999999992</v>
      </c>
      <c r="E205" s="7" t="s">
        <v>8</v>
      </c>
      <c r="F205" s="7" t="s">
        <v>8</v>
      </c>
      <c r="G205" s="34">
        <v>8318</v>
      </c>
      <c r="H205" s="35"/>
      <c r="J205" s="9"/>
    </row>
    <row r="206" spans="1:10" ht="45.75" thickBot="1" x14ac:dyDescent="0.3">
      <c r="A206" s="2" t="s">
        <v>15</v>
      </c>
      <c r="B206" s="7" t="s">
        <v>8</v>
      </c>
      <c r="C206" s="7" t="s">
        <v>8</v>
      </c>
      <c r="D206" s="6"/>
      <c r="E206" s="7" t="s">
        <v>8</v>
      </c>
      <c r="F206" s="7" t="s">
        <v>8</v>
      </c>
      <c r="G206" s="34">
        <v>0</v>
      </c>
      <c r="H206" s="35"/>
    </row>
    <row r="207" spans="1:10" ht="15.75" thickBot="1" x14ac:dyDescent="0.3">
      <c r="A207" s="2" t="s">
        <v>16</v>
      </c>
      <c r="B207" s="7" t="s">
        <v>8</v>
      </c>
      <c r="C207" s="7" t="s">
        <v>8</v>
      </c>
      <c r="D207" s="11"/>
      <c r="E207" s="6">
        <v>15000</v>
      </c>
      <c r="F207" s="6"/>
      <c r="G207" s="34">
        <v>30000</v>
      </c>
      <c r="H207" s="35"/>
    </row>
    <row r="208" spans="1:10" ht="15.75" thickBot="1" x14ac:dyDescent="0.3">
      <c r="A208" s="3" t="s">
        <v>17</v>
      </c>
      <c r="B208" s="6">
        <f>G208*56%</f>
        <v>0</v>
      </c>
      <c r="C208" s="7"/>
      <c r="D208" s="6"/>
      <c r="E208" s="6">
        <f>G208-B208</f>
        <v>0</v>
      </c>
      <c r="F208" s="6"/>
      <c r="G208" s="34">
        <v>0</v>
      </c>
      <c r="H208" s="35"/>
    </row>
    <row r="209" spans="1:10" ht="15.75" thickBot="1" x14ac:dyDescent="0.3">
      <c r="A209" s="3" t="s">
        <v>18</v>
      </c>
      <c r="B209" s="6"/>
      <c r="C209" s="7"/>
      <c r="D209" s="7"/>
      <c r="E209" s="6"/>
      <c r="F209" s="6"/>
      <c r="G209" s="34"/>
      <c r="H209" s="35"/>
    </row>
    <row r="210" spans="1:10" ht="45.75" thickBot="1" x14ac:dyDescent="0.3">
      <c r="A210" s="2" t="s">
        <v>19</v>
      </c>
      <c r="B210" s="6"/>
      <c r="C210" s="7"/>
      <c r="D210" s="6"/>
      <c r="E210" s="6"/>
      <c r="F210" s="6"/>
      <c r="G210" s="38"/>
      <c r="H210" s="39"/>
    </row>
    <row r="211" spans="1:10" ht="45.75" thickBot="1" x14ac:dyDescent="0.3">
      <c r="A211" s="2" t="s">
        <v>20</v>
      </c>
      <c r="B211" s="6">
        <f>G211*56%</f>
        <v>2425.36</v>
      </c>
      <c r="C211" s="7"/>
      <c r="D211" s="6"/>
      <c r="E211" s="6"/>
      <c r="F211" s="6"/>
      <c r="G211" s="34">
        <v>4331</v>
      </c>
      <c r="H211" s="35"/>
    </row>
    <row r="212" spans="1:10" ht="30.75" thickBot="1" x14ac:dyDescent="0.3">
      <c r="A212" s="2" t="s">
        <v>21</v>
      </c>
      <c r="B212" s="6">
        <f>G212*56%</f>
        <v>7868.0000000000009</v>
      </c>
      <c r="C212" s="6"/>
      <c r="D212" s="28">
        <f>G212-B212</f>
        <v>6181.9999999999991</v>
      </c>
      <c r="E212" s="7" t="s">
        <v>8</v>
      </c>
      <c r="F212" s="7" t="s">
        <v>8</v>
      </c>
      <c r="G212" s="34">
        <f>44050-G207</f>
        <v>14050</v>
      </c>
      <c r="H212" s="35"/>
    </row>
    <row r="213" spans="1:10" ht="15.75" thickBot="1" x14ac:dyDescent="0.3">
      <c r="A213" s="3" t="s">
        <v>22</v>
      </c>
      <c r="B213" s="6">
        <f>G213*56%</f>
        <v>1291.3600000000001</v>
      </c>
      <c r="C213" s="6"/>
      <c r="D213" s="28">
        <f>G213-B213</f>
        <v>1014.6399999999999</v>
      </c>
      <c r="E213" s="7" t="s">
        <v>8</v>
      </c>
      <c r="F213" s="7" t="s">
        <v>8</v>
      </c>
      <c r="G213" s="34">
        <f>1732+574</f>
        <v>2306</v>
      </c>
      <c r="H213" s="35"/>
    </row>
    <row r="214" spans="1:10" ht="15.75" thickBot="1" x14ac:dyDescent="0.3">
      <c r="A214" s="3" t="s">
        <v>23</v>
      </c>
      <c r="B214" s="7" t="s">
        <v>8</v>
      </c>
      <c r="C214" s="11"/>
      <c r="D214" s="7" t="s">
        <v>8</v>
      </c>
      <c r="E214" s="7" t="s">
        <v>8</v>
      </c>
      <c r="F214" s="7" t="s">
        <v>8</v>
      </c>
      <c r="G214" s="38"/>
      <c r="H214" s="39"/>
    </row>
    <row r="215" spans="1:10" ht="15.75" thickBot="1" x14ac:dyDescent="0.3">
      <c r="A215" s="3" t="s">
        <v>24</v>
      </c>
      <c r="B215" s="6">
        <f>G215*56%</f>
        <v>0</v>
      </c>
      <c r="C215" s="6"/>
      <c r="D215" s="6"/>
      <c r="E215" s="7" t="s">
        <v>8</v>
      </c>
      <c r="F215" s="7" t="s">
        <v>8</v>
      </c>
      <c r="G215" s="34"/>
      <c r="H215" s="35"/>
    </row>
    <row r="216" spans="1:10" ht="15.75" thickBot="1" x14ac:dyDescent="0.3">
      <c r="A216" s="4" t="s">
        <v>25</v>
      </c>
      <c r="B216" s="6">
        <f>SUM(B200:B215)</f>
        <v>180592.8</v>
      </c>
      <c r="C216" s="6"/>
      <c r="D216" s="6">
        <f>SUM(D200:D215)</f>
        <v>62756.55999999999</v>
      </c>
      <c r="E216" s="6">
        <f>SUM(E200:E215)</f>
        <v>15000</v>
      </c>
      <c r="F216" s="6"/>
      <c r="G216" s="34">
        <f>SUM(G200:H215)</f>
        <v>275255</v>
      </c>
      <c r="H216" s="35"/>
    </row>
    <row r="217" spans="1:10" x14ac:dyDescent="0.25">
      <c r="A217" s="36" t="s">
        <v>26</v>
      </c>
      <c r="B217" s="36"/>
      <c r="C217" s="36"/>
      <c r="D217" s="36"/>
      <c r="E217" s="36"/>
      <c r="F217" s="36"/>
      <c r="G217" s="36"/>
      <c r="H217" s="36"/>
    </row>
    <row r="218" spans="1:10" x14ac:dyDescent="0.25">
      <c r="A218" s="37" t="s">
        <v>27</v>
      </c>
      <c r="B218" s="37"/>
      <c r="C218" s="37"/>
      <c r="D218" s="37"/>
      <c r="E218" s="37"/>
      <c r="F218" s="37"/>
      <c r="G218" s="37"/>
      <c r="H218" s="37"/>
    </row>
    <row r="219" spans="1:10" x14ac:dyDescent="0.25">
      <c r="A219" s="37" t="s">
        <v>28</v>
      </c>
      <c r="B219" s="37"/>
      <c r="C219" s="37"/>
      <c r="D219" s="37"/>
      <c r="E219" s="37"/>
      <c r="F219" s="37"/>
      <c r="G219" s="37"/>
      <c r="H219" s="37"/>
      <c r="J219" s="9"/>
    </row>
    <row r="220" spans="1:10" x14ac:dyDescent="0.25">
      <c r="A220" s="1"/>
      <c r="B220" s="8"/>
      <c r="C220" s="8"/>
      <c r="D220" s="8"/>
      <c r="E220" s="8"/>
      <c r="F220" s="8"/>
      <c r="G220" s="8"/>
      <c r="H220" s="8"/>
    </row>
    <row r="221" spans="1:10" ht="15.75" x14ac:dyDescent="0.25">
      <c r="A221" s="5"/>
    </row>
    <row r="222" spans="1:10" x14ac:dyDescent="0.25">
      <c r="B222" s="12" t="s">
        <v>88</v>
      </c>
      <c r="C222" s="12">
        <v>204859</v>
      </c>
    </row>
    <row r="223" spans="1:10" x14ac:dyDescent="0.25">
      <c r="C223" s="9">
        <f>C222-B216</f>
        <v>24266.200000000012</v>
      </c>
      <c r="D223"/>
      <c r="E223"/>
      <c r="F223"/>
      <c r="G223"/>
      <c r="H223"/>
    </row>
    <row r="224" spans="1:10" x14ac:dyDescent="0.25">
      <c r="D224"/>
      <c r="E224"/>
      <c r="F224"/>
      <c r="G224"/>
      <c r="H224"/>
    </row>
    <row r="225" spans="1:10" x14ac:dyDescent="0.25">
      <c r="D225"/>
      <c r="E225"/>
      <c r="F225"/>
      <c r="G225"/>
      <c r="H225"/>
    </row>
    <row r="226" spans="1:10" x14ac:dyDescent="0.25">
      <c r="D226"/>
      <c r="E226"/>
      <c r="F226"/>
      <c r="G226"/>
      <c r="H226"/>
    </row>
    <row r="227" spans="1:10" x14ac:dyDescent="0.25">
      <c r="D227"/>
      <c r="E227"/>
      <c r="F227"/>
      <c r="G227"/>
      <c r="H227"/>
    </row>
    <row r="228" spans="1:10" x14ac:dyDescent="0.25">
      <c r="A228" s="29"/>
      <c r="B228" s="30"/>
      <c r="C228" s="30"/>
      <c r="D228" s="30"/>
      <c r="E228" s="56" t="s">
        <v>29</v>
      </c>
      <c r="F228" s="56"/>
      <c r="G228" s="56"/>
      <c r="H228" s="56"/>
    </row>
    <row r="229" spans="1:10" x14ac:dyDescent="0.25">
      <c r="A229" s="57"/>
      <c r="B229" s="58"/>
      <c r="C229" s="58"/>
      <c r="D229" s="59"/>
      <c r="E229" s="59" t="s">
        <v>0</v>
      </c>
      <c r="F229" s="59"/>
      <c r="G229" s="59"/>
      <c r="H229" s="59"/>
    </row>
    <row r="230" spans="1:10" x14ac:dyDescent="0.25">
      <c r="A230" s="57"/>
      <c r="B230" s="58"/>
      <c r="C230" s="58"/>
      <c r="D230" s="59"/>
      <c r="E230" s="59" t="s">
        <v>1</v>
      </c>
      <c r="F230" s="59"/>
      <c r="G230" s="59"/>
      <c r="H230" s="59"/>
    </row>
    <row r="231" spans="1:10" ht="15.75" thickBot="1" x14ac:dyDescent="0.3">
      <c r="A231" s="42" t="s">
        <v>97</v>
      </c>
      <c r="B231" s="42"/>
      <c r="C231" s="42"/>
      <c r="D231" s="42"/>
      <c r="E231" s="42"/>
      <c r="F231" s="42"/>
      <c r="G231" s="43"/>
      <c r="H231" s="43"/>
    </row>
    <row r="232" spans="1:10" ht="15.75" thickBot="1" x14ac:dyDescent="0.3">
      <c r="A232" s="44" t="s">
        <v>2</v>
      </c>
      <c r="B232" s="47" t="s">
        <v>30</v>
      </c>
      <c r="C232" s="48"/>
      <c r="D232" s="48"/>
      <c r="E232" s="48"/>
      <c r="F232" s="48"/>
      <c r="G232" s="49" t="s">
        <v>3</v>
      </c>
      <c r="H232" s="50"/>
    </row>
    <row r="233" spans="1:10" ht="105.75" thickBot="1" x14ac:dyDescent="0.3">
      <c r="A233" s="45"/>
      <c r="B233" s="40" t="s">
        <v>30</v>
      </c>
      <c r="C233" s="51"/>
      <c r="D233" s="27" t="s">
        <v>32</v>
      </c>
      <c r="E233" s="51" t="s">
        <v>4</v>
      </c>
      <c r="F233" s="41"/>
      <c r="G233" s="52"/>
      <c r="H233" s="53"/>
    </row>
    <row r="234" spans="1:10" ht="150.75" thickBot="1" x14ac:dyDescent="0.3">
      <c r="A234" s="46"/>
      <c r="B234" s="33" t="s">
        <v>36</v>
      </c>
      <c r="C234" s="33" t="s">
        <v>5</v>
      </c>
      <c r="D234" s="33" t="s">
        <v>33</v>
      </c>
      <c r="E234" s="33" t="s">
        <v>34</v>
      </c>
      <c r="F234" s="33" t="s">
        <v>35</v>
      </c>
      <c r="G234" s="54"/>
      <c r="H234" s="55"/>
    </row>
    <row r="235" spans="1:10" ht="15.75" thickBot="1" x14ac:dyDescent="0.3">
      <c r="A235" s="26">
        <v>1</v>
      </c>
      <c r="B235" s="33">
        <v>2</v>
      </c>
      <c r="C235" s="10">
        <v>3</v>
      </c>
      <c r="D235" s="33">
        <v>4</v>
      </c>
      <c r="E235" s="10">
        <v>5</v>
      </c>
      <c r="F235" s="33">
        <v>6</v>
      </c>
      <c r="G235" s="40" t="s">
        <v>37</v>
      </c>
      <c r="H235" s="41"/>
    </row>
    <row r="236" spans="1:10" ht="60.75" thickBot="1" x14ac:dyDescent="0.3">
      <c r="A236" s="2" t="s">
        <v>7</v>
      </c>
      <c r="B236" s="6">
        <f>B237</f>
        <v>139049.60000000001</v>
      </c>
      <c r="C236" s="11"/>
      <c r="D236" s="6">
        <f>D237</f>
        <v>43910.399999999994</v>
      </c>
      <c r="E236" s="7" t="s">
        <v>8</v>
      </c>
      <c r="F236" s="7" t="s">
        <v>8</v>
      </c>
      <c r="G236" s="34">
        <f>185138-1100-1078</f>
        <v>182960</v>
      </c>
      <c r="H236" s="35"/>
    </row>
    <row r="237" spans="1:10" ht="15.75" thickBot="1" x14ac:dyDescent="0.3">
      <c r="A237" s="3" t="s">
        <v>9</v>
      </c>
      <c r="B237" s="6">
        <f>G237*76%</f>
        <v>139049.60000000001</v>
      </c>
      <c r="C237" s="11"/>
      <c r="D237" s="28">
        <f>G237-B237</f>
        <v>43910.399999999994</v>
      </c>
      <c r="E237" s="7" t="s">
        <v>8</v>
      </c>
      <c r="F237" s="7" t="s">
        <v>8</v>
      </c>
      <c r="G237" s="34">
        <f>G236-G238</f>
        <v>182960</v>
      </c>
      <c r="H237" s="35"/>
    </row>
    <row r="238" spans="1:10" ht="15.75" thickBot="1" x14ac:dyDescent="0.3">
      <c r="A238" s="2" t="s">
        <v>10</v>
      </c>
      <c r="B238" s="6">
        <v>0</v>
      </c>
      <c r="C238" s="11"/>
      <c r="D238" s="6">
        <v>0</v>
      </c>
      <c r="E238" s="7" t="s">
        <v>8</v>
      </c>
      <c r="F238" s="7" t="s">
        <v>8</v>
      </c>
      <c r="G238" s="60"/>
      <c r="H238" s="35"/>
      <c r="J238" s="9"/>
    </row>
    <row r="239" spans="1:10" ht="60.75" thickBot="1" x14ac:dyDescent="0.3">
      <c r="A239" s="2" t="s">
        <v>11</v>
      </c>
      <c r="B239" s="6">
        <f>G239*76%</f>
        <v>44408.32</v>
      </c>
      <c r="C239" s="11"/>
      <c r="D239" s="28">
        <f>G239-B239</f>
        <v>14023.68</v>
      </c>
      <c r="E239" s="7" t="s">
        <v>8</v>
      </c>
      <c r="F239" s="7" t="s">
        <v>8</v>
      </c>
      <c r="G239" s="34">
        <f>58633-201</f>
        <v>58432</v>
      </c>
      <c r="H239" s="35"/>
    </row>
    <row r="240" spans="1:10" ht="30.75" thickBot="1" x14ac:dyDescent="0.3">
      <c r="A240" s="2" t="s">
        <v>12</v>
      </c>
      <c r="B240" s="6">
        <f>G240*76%</f>
        <v>1808.04</v>
      </c>
      <c r="C240" s="11"/>
      <c r="D240" s="28">
        <f>G240-B240</f>
        <v>570.96</v>
      </c>
      <c r="E240" s="7" t="s">
        <v>8</v>
      </c>
      <c r="F240" s="7" t="s">
        <v>8</v>
      </c>
      <c r="G240" s="34">
        <f>1100+1078+201</f>
        <v>2379</v>
      </c>
      <c r="H240" s="35"/>
    </row>
    <row r="241" spans="1:10" ht="15.75" thickBot="1" x14ac:dyDescent="0.3">
      <c r="A241" s="2" t="s">
        <v>13</v>
      </c>
      <c r="B241" s="6">
        <f>G241*56%</f>
        <v>0</v>
      </c>
      <c r="C241" s="6"/>
      <c r="D241" s="28">
        <f>G241-B241</f>
        <v>0</v>
      </c>
      <c r="E241" s="7" t="s">
        <v>8</v>
      </c>
      <c r="F241" s="7" t="s">
        <v>8</v>
      </c>
      <c r="G241" s="34"/>
      <c r="H241" s="35"/>
    </row>
    <row r="242" spans="1:10" ht="30.75" thickBot="1" x14ac:dyDescent="0.3">
      <c r="A242" s="2" t="s">
        <v>14</v>
      </c>
      <c r="B242" s="6">
        <f>G242*56%</f>
        <v>11111.52</v>
      </c>
      <c r="C242" s="6"/>
      <c r="D242" s="28">
        <f>G242-B242</f>
        <v>8730.48</v>
      </c>
      <c r="E242" s="7" t="s">
        <v>8</v>
      </c>
      <c r="F242" s="7" t="s">
        <v>8</v>
      </c>
      <c r="G242" s="34">
        <f>18110+1732</f>
        <v>19842</v>
      </c>
      <c r="H242" s="35"/>
      <c r="J242" s="9"/>
    </row>
    <row r="243" spans="1:10" ht="45.75" thickBot="1" x14ac:dyDescent="0.3">
      <c r="A243" s="2" t="s">
        <v>15</v>
      </c>
      <c r="B243" s="7" t="s">
        <v>8</v>
      </c>
      <c r="C243" s="7" t="s">
        <v>8</v>
      </c>
      <c r="D243" s="6"/>
      <c r="E243" s="7" t="s">
        <v>8</v>
      </c>
      <c r="F243" s="7" t="s">
        <v>8</v>
      </c>
      <c r="G243" s="34"/>
      <c r="H243" s="35"/>
    </row>
    <row r="244" spans="1:10" ht="15.75" thickBot="1" x14ac:dyDescent="0.3">
      <c r="A244" s="2" t="s">
        <v>16</v>
      </c>
      <c r="B244" s="7" t="s">
        <v>8</v>
      </c>
      <c r="C244" s="7" t="s">
        <v>8</v>
      </c>
      <c r="D244" s="11"/>
      <c r="E244" s="6">
        <f>G244</f>
        <v>35000</v>
      </c>
      <c r="F244" s="6"/>
      <c r="G244" s="34">
        <v>35000</v>
      </c>
      <c r="H244" s="35"/>
    </row>
    <row r="245" spans="1:10" ht="15.75" thickBot="1" x14ac:dyDescent="0.3">
      <c r="A245" s="3" t="s">
        <v>17</v>
      </c>
      <c r="B245" s="6">
        <f>G245*56%</f>
        <v>0</v>
      </c>
      <c r="C245" s="7"/>
      <c r="D245" s="6"/>
      <c r="E245" s="6">
        <f>G245-B245</f>
        <v>0</v>
      </c>
      <c r="F245" s="6"/>
      <c r="G245" s="34">
        <v>0</v>
      </c>
      <c r="H245" s="35"/>
    </row>
    <row r="246" spans="1:10" ht="15.75" thickBot="1" x14ac:dyDescent="0.3">
      <c r="A246" s="3" t="s">
        <v>18</v>
      </c>
      <c r="B246" s="6"/>
      <c r="C246" s="7"/>
      <c r="D246" s="7"/>
      <c r="E246" s="6"/>
      <c r="F246" s="6"/>
      <c r="G246" s="34"/>
      <c r="H246" s="35"/>
    </row>
    <row r="247" spans="1:10" ht="45.75" thickBot="1" x14ac:dyDescent="0.3">
      <c r="A247" s="2" t="s">
        <v>19</v>
      </c>
      <c r="B247" s="6"/>
      <c r="C247" s="7"/>
      <c r="D247" s="6"/>
      <c r="E247" s="6"/>
      <c r="F247" s="6"/>
      <c r="G247" s="38"/>
      <c r="H247" s="39"/>
    </row>
    <row r="248" spans="1:10" ht="45.75" thickBot="1" x14ac:dyDescent="0.3">
      <c r="A248" s="2" t="s">
        <v>20</v>
      </c>
      <c r="B248" s="6">
        <v>0</v>
      </c>
      <c r="C248" s="7"/>
      <c r="D248" s="6"/>
      <c r="E248" s="6">
        <v>5053</v>
      </c>
      <c r="F248" s="6"/>
      <c r="G248" s="34">
        <v>5053</v>
      </c>
      <c r="H248" s="35"/>
    </row>
    <row r="249" spans="1:10" ht="30.75" thickBot="1" x14ac:dyDescent="0.3">
      <c r="A249" s="2" t="s">
        <v>21</v>
      </c>
      <c r="B249" s="6">
        <f>G249*56%</f>
        <v>8370.3200000000015</v>
      </c>
      <c r="C249" s="6"/>
      <c r="D249" s="28">
        <f>G249-B249</f>
        <v>6576.6799999999985</v>
      </c>
      <c r="E249" s="7" t="s">
        <v>8</v>
      </c>
      <c r="F249" s="7" t="s">
        <v>8</v>
      </c>
      <c r="G249" s="34">
        <f>49947-G244</f>
        <v>14947</v>
      </c>
      <c r="H249" s="35"/>
    </row>
    <row r="250" spans="1:10" ht="15.75" thickBot="1" x14ac:dyDescent="0.3">
      <c r="A250" s="3" t="s">
        <v>22</v>
      </c>
      <c r="B250" s="6">
        <f>G250*56%</f>
        <v>343.84000000000003</v>
      </c>
      <c r="C250" s="6"/>
      <c r="D250" s="28">
        <f>G250-B250</f>
        <v>270.15999999999997</v>
      </c>
      <c r="E250" s="7" t="s">
        <v>8</v>
      </c>
      <c r="F250" s="7" t="s">
        <v>8</v>
      </c>
      <c r="G250" s="34">
        <f>614</f>
        <v>614</v>
      </c>
      <c r="H250" s="35"/>
    </row>
    <row r="251" spans="1:10" ht="15.75" thickBot="1" x14ac:dyDescent="0.3">
      <c r="A251" s="3" t="s">
        <v>23</v>
      </c>
      <c r="B251" s="7" t="s">
        <v>8</v>
      </c>
      <c r="C251" s="11"/>
      <c r="D251" s="7" t="s">
        <v>8</v>
      </c>
      <c r="E251" s="7" t="s">
        <v>8</v>
      </c>
      <c r="F251" s="7" t="s">
        <v>8</v>
      </c>
      <c r="G251" s="38"/>
      <c r="H251" s="39"/>
    </row>
    <row r="252" spans="1:10" ht="15.75" thickBot="1" x14ac:dyDescent="0.3">
      <c r="A252" s="3" t="s">
        <v>24</v>
      </c>
      <c r="B252" s="6">
        <f>G252*56%</f>
        <v>0</v>
      </c>
      <c r="C252" s="6"/>
      <c r="D252" s="6"/>
      <c r="E252" s="7" t="s">
        <v>8</v>
      </c>
      <c r="F252" s="7" t="s">
        <v>8</v>
      </c>
      <c r="G252" s="34"/>
      <c r="H252" s="35"/>
      <c r="J252" s="9"/>
    </row>
    <row r="253" spans="1:10" ht="15.75" thickBot="1" x14ac:dyDescent="0.3">
      <c r="A253" s="4" t="s">
        <v>25</v>
      </c>
      <c r="B253" s="6">
        <f>SUM(B237:B252)</f>
        <v>205091.64</v>
      </c>
      <c r="C253" s="6"/>
      <c r="D253" s="6">
        <f>SUM(D237:D252)</f>
        <v>74082.359999999986</v>
      </c>
      <c r="E253" s="6">
        <f>SUM(E237:E252)</f>
        <v>40053</v>
      </c>
      <c r="F253" s="6"/>
      <c r="G253" s="34">
        <f>SUM(G237:H252)</f>
        <v>319227</v>
      </c>
      <c r="H253" s="35"/>
      <c r="J253" s="9"/>
    </row>
    <row r="254" spans="1:10" x14ac:dyDescent="0.25">
      <c r="A254" s="36" t="s">
        <v>26</v>
      </c>
      <c r="B254" s="36"/>
      <c r="C254" s="36"/>
      <c r="D254" s="36"/>
      <c r="E254" s="36"/>
      <c r="F254" s="36"/>
      <c r="G254" s="36"/>
      <c r="H254" s="36"/>
    </row>
    <row r="255" spans="1:10" x14ac:dyDescent="0.25">
      <c r="A255" s="37" t="s">
        <v>27</v>
      </c>
      <c r="B255" s="37"/>
      <c r="C255" s="37"/>
      <c r="D255" s="37"/>
      <c r="E255" s="37"/>
      <c r="F255" s="37"/>
      <c r="G255" s="37"/>
      <c r="H255" s="37"/>
    </row>
    <row r="256" spans="1:10" x14ac:dyDescent="0.25">
      <c r="A256" s="37" t="s">
        <v>28</v>
      </c>
      <c r="B256" s="37"/>
      <c r="C256" s="37"/>
      <c r="D256" s="37"/>
      <c r="E256" s="37"/>
      <c r="F256" s="37"/>
      <c r="G256" s="37"/>
      <c r="H256" s="37"/>
    </row>
    <row r="257" spans="1:8" x14ac:dyDescent="0.25">
      <c r="A257" s="1"/>
      <c r="B257" s="8"/>
      <c r="C257" s="8"/>
      <c r="D257" s="8"/>
      <c r="E257" s="8"/>
      <c r="F257" s="8"/>
      <c r="G257" s="8"/>
      <c r="H257" s="8"/>
    </row>
    <row r="258" spans="1:8" ht="15.75" x14ac:dyDescent="0.25">
      <c r="A258" s="5"/>
    </row>
    <row r="259" spans="1:8" x14ac:dyDescent="0.25">
      <c r="B259" s="12" t="s">
        <v>98</v>
      </c>
      <c r="C259" s="12">
        <v>243146</v>
      </c>
    </row>
    <row r="260" spans="1:8" x14ac:dyDescent="0.25">
      <c r="C260" s="9">
        <f>C259-B253</f>
        <v>38054.359999999986</v>
      </c>
      <c r="D260"/>
      <c r="E260"/>
      <c r="F260"/>
      <c r="G260"/>
      <c r="H260"/>
    </row>
    <row r="261" spans="1:8" x14ac:dyDescent="0.25">
      <c r="D261"/>
      <c r="E261"/>
      <c r="F261"/>
      <c r="G261"/>
      <c r="H261"/>
    </row>
    <row r="262" spans="1:8" x14ac:dyDescent="0.25">
      <c r="D262"/>
      <c r="E262"/>
      <c r="F262"/>
      <c r="G262"/>
      <c r="H262"/>
    </row>
    <row r="263" spans="1:8" x14ac:dyDescent="0.25">
      <c r="D263"/>
      <c r="E263"/>
      <c r="F263"/>
      <c r="G263"/>
      <c r="H263"/>
    </row>
    <row r="264" spans="1:8" x14ac:dyDescent="0.25">
      <c r="D264"/>
      <c r="E264"/>
      <c r="F264"/>
      <c r="G264"/>
      <c r="H264"/>
    </row>
    <row r="265" spans="1:8" x14ac:dyDescent="0.25">
      <c r="A265" s="29"/>
      <c r="B265" s="30"/>
      <c r="C265" s="30"/>
      <c r="D265" s="30"/>
      <c r="E265" s="56" t="s">
        <v>29</v>
      </c>
      <c r="F265" s="56"/>
      <c r="G265" s="56"/>
      <c r="H265" s="56"/>
    </row>
    <row r="266" spans="1:8" x14ac:dyDescent="0.25">
      <c r="A266" s="57"/>
      <c r="B266" s="58"/>
      <c r="C266" s="58"/>
      <c r="D266" s="59"/>
      <c r="E266" s="59" t="s">
        <v>0</v>
      </c>
      <c r="F266" s="59"/>
      <c r="G266" s="59"/>
      <c r="H266" s="59"/>
    </row>
    <row r="267" spans="1:8" x14ac:dyDescent="0.25">
      <c r="A267" s="57"/>
      <c r="B267" s="58"/>
      <c r="C267" s="58"/>
      <c r="D267" s="59"/>
      <c r="E267" s="59" t="s">
        <v>1</v>
      </c>
      <c r="F267" s="59"/>
      <c r="G267" s="59"/>
      <c r="H267" s="59"/>
    </row>
    <row r="268" spans="1:8" ht="15.75" thickBot="1" x14ac:dyDescent="0.3">
      <c r="A268" s="42" t="s">
        <v>99</v>
      </c>
      <c r="B268" s="42"/>
      <c r="C268" s="42"/>
      <c r="D268" s="42"/>
      <c r="E268" s="42"/>
      <c r="F268" s="42"/>
      <c r="G268" s="43"/>
      <c r="H268" s="43"/>
    </row>
    <row r="269" spans="1:8" ht="15.75" thickBot="1" x14ac:dyDescent="0.3">
      <c r="A269" s="44" t="s">
        <v>2</v>
      </c>
      <c r="B269" s="47" t="s">
        <v>30</v>
      </c>
      <c r="C269" s="48"/>
      <c r="D269" s="48"/>
      <c r="E269" s="48"/>
      <c r="F269" s="48"/>
      <c r="G269" s="49" t="s">
        <v>3</v>
      </c>
      <c r="H269" s="50"/>
    </row>
    <row r="270" spans="1:8" ht="105.75" thickBot="1" x14ac:dyDescent="0.3">
      <c r="A270" s="45"/>
      <c r="B270" s="40" t="s">
        <v>30</v>
      </c>
      <c r="C270" s="51"/>
      <c r="D270" s="27" t="s">
        <v>32</v>
      </c>
      <c r="E270" s="51" t="s">
        <v>4</v>
      </c>
      <c r="F270" s="41"/>
      <c r="G270" s="52"/>
      <c r="H270" s="53"/>
    </row>
    <row r="271" spans="1:8" ht="150.75" thickBot="1" x14ac:dyDescent="0.3">
      <c r="A271" s="46"/>
      <c r="B271" s="33" t="s">
        <v>36</v>
      </c>
      <c r="C271" s="33" t="s">
        <v>5</v>
      </c>
      <c r="D271" s="33" t="s">
        <v>33</v>
      </c>
      <c r="E271" s="33" t="s">
        <v>34</v>
      </c>
      <c r="F271" s="33" t="s">
        <v>35</v>
      </c>
      <c r="G271" s="54"/>
      <c r="H271" s="55"/>
    </row>
    <row r="272" spans="1:8" ht="15.75" thickBot="1" x14ac:dyDescent="0.3">
      <c r="A272" s="26">
        <v>1</v>
      </c>
      <c r="B272" s="33">
        <v>2</v>
      </c>
      <c r="C272" s="10">
        <v>3</v>
      </c>
      <c r="D272" s="33">
        <v>4</v>
      </c>
      <c r="E272" s="10">
        <v>5</v>
      </c>
      <c r="F272" s="33">
        <v>6</v>
      </c>
      <c r="G272" s="40" t="s">
        <v>37</v>
      </c>
      <c r="H272" s="41"/>
    </row>
    <row r="273" spans="1:10" ht="60.75" thickBot="1" x14ac:dyDescent="0.3">
      <c r="A273" s="2" t="s">
        <v>7</v>
      </c>
      <c r="B273" s="6">
        <f>B274</f>
        <v>152981.16</v>
      </c>
      <c r="C273" s="11"/>
      <c r="D273" s="6">
        <f>D274</f>
        <v>48309.84</v>
      </c>
      <c r="E273" s="7" t="s">
        <v>8</v>
      </c>
      <c r="F273" s="7" t="s">
        <v>8</v>
      </c>
      <c r="G273" s="34">
        <f>203497-1100-1106</f>
        <v>201291</v>
      </c>
      <c r="H273" s="35"/>
    </row>
    <row r="274" spans="1:10" ht="15.75" thickBot="1" x14ac:dyDescent="0.3">
      <c r="A274" s="3" t="s">
        <v>9</v>
      </c>
      <c r="B274" s="6">
        <f>G274*76%</f>
        <v>152981.16</v>
      </c>
      <c r="C274" s="11"/>
      <c r="D274" s="28">
        <f>G274-B274</f>
        <v>48309.84</v>
      </c>
      <c r="E274" s="7" t="s">
        <v>8</v>
      </c>
      <c r="F274" s="7" t="s">
        <v>8</v>
      </c>
      <c r="G274" s="34">
        <f>G273-G275</f>
        <v>201291</v>
      </c>
      <c r="H274" s="35"/>
      <c r="J274" s="9"/>
    </row>
    <row r="275" spans="1:10" ht="15.75" thickBot="1" x14ac:dyDescent="0.3">
      <c r="A275" s="2" t="s">
        <v>10</v>
      </c>
      <c r="B275" s="6">
        <v>0</v>
      </c>
      <c r="C275" s="11"/>
      <c r="D275" s="6">
        <v>0</v>
      </c>
      <c r="E275" s="7" t="s">
        <v>8</v>
      </c>
      <c r="F275" s="7" t="s">
        <v>8</v>
      </c>
      <c r="G275" s="60"/>
      <c r="H275" s="35"/>
    </row>
    <row r="276" spans="1:10" ht="60.75" thickBot="1" x14ac:dyDescent="0.3">
      <c r="A276" s="2" t="s">
        <v>11</v>
      </c>
      <c r="B276" s="6">
        <f>G276*76%</f>
        <v>49073.96</v>
      </c>
      <c r="C276" s="11"/>
      <c r="D276" s="28">
        <f>G276-B276</f>
        <v>15497.04</v>
      </c>
      <c r="E276" s="7" t="s">
        <v>8</v>
      </c>
      <c r="F276" s="7" t="s">
        <v>8</v>
      </c>
      <c r="G276" s="34">
        <f>65109-538</f>
        <v>64571</v>
      </c>
      <c r="H276" s="35"/>
    </row>
    <row r="277" spans="1:10" ht="30.75" thickBot="1" x14ac:dyDescent="0.3">
      <c r="A277" s="2" t="s">
        <v>12</v>
      </c>
      <c r="B277" s="6">
        <f>G277*76%</f>
        <v>2085.44</v>
      </c>
      <c r="C277" s="11"/>
      <c r="D277" s="28">
        <f>G277-B277</f>
        <v>658.56</v>
      </c>
      <c r="E277" s="7" t="s">
        <v>8</v>
      </c>
      <c r="F277" s="7" t="s">
        <v>8</v>
      </c>
      <c r="G277" s="34">
        <f>1100+1106+538</f>
        <v>2744</v>
      </c>
      <c r="H277" s="35"/>
    </row>
    <row r="278" spans="1:10" ht="15.75" thickBot="1" x14ac:dyDescent="0.3">
      <c r="A278" s="2" t="s">
        <v>13</v>
      </c>
      <c r="B278" s="6">
        <f>G278*56%</f>
        <v>0</v>
      </c>
      <c r="C278" s="6"/>
      <c r="D278" s="28">
        <f>G278-B278</f>
        <v>0</v>
      </c>
      <c r="E278" s="7" t="s">
        <v>8</v>
      </c>
      <c r="F278" s="7" t="s">
        <v>8</v>
      </c>
      <c r="G278" s="34">
        <v>0</v>
      </c>
      <c r="H278" s="35"/>
    </row>
    <row r="279" spans="1:10" ht="30.75" thickBot="1" x14ac:dyDescent="0.3">
      <c r="A279" s="2" t="s">
        <v>14</v>
      </c>
      <c r="B279" s="6">
        <f>G279*56%</f>
        <v>12364.800000000001</v>
      </c>
      <c r="C279" s="6"/>
      <c r="D279" s="28">
        <f>G279-B279</f>
        <v>9715.1999999999989</v>
      </c>
      <c r="E279" s="7" t="s">
        <v>8</v>
      </c>
      <c r="F279" s="7" t="s">
        <v>8</v>
      </c>
      <c r="G279" s="34">
        <f>20418+459+1203</f>
        <v>22080</v>
      </c>
      <c r="H279" s="35"/>
      <c r="J279" s="9"/>
    </row>
    <row r="280" spans="1:10" ht="45.75" thickBot="1" x14ac:dyDescent="0.3">
      <c r="A280" s="2" t="s">
        <v>15</v>
      </c>
      <c r="B280" s="7" t="s">
        <v>8</v>
      </c>
      <c r="C280" s="7" t="s">
        <v>8</v>
      </c>
      <c r="D280" s="6"/>
      <c r="E280" s="7" t="s">
        <v>8</v>
      </c>
      <c r="F280" s="7" t="s">
        <v>8</v>
      </c>
      <c r="G280" s="34"/>
      <c r="H280" s="35"/>
    </row>
    <row r="281" spans="1:10" ht="15.75" thickBot="1" x14ac:dyDescent="0.3">
      <c r="A281" s="2" t="s">
        <v>16</v>
      </c>
      <c r="B281" s="22" t="s">
        <v>8</v>
      </c>
      <c r="C281" s="7" t="s">
        <v>8</v>
      </c>
      <c r="D281" s="11"/>
      <c r="E281" s="6">
        <f>G281</f>
        <v>40000</v>
      </c>
      <c r="F281" s="6"/>
      <c r="G281" s="34">
        <v>40000</v>
      </c>
      <c r="H281" s="35"/>
    </row>
    <row r="282" spans="1:10" ht="15.75" thickBot="1" x14ac:dyDescent="0.3">
      <c r="A282" s="3" t="s">
        <v>17</v>
      </c>
      <c r="B282" s="6">
        <f>G282*56%</f>
        <v>0</v>
      </c>
      <c r="C282" s="7"/>
      <c r="D282" s="6"/>
      <c r="E282" s="6">
        <f>G282-B282</f>
        <v>0</v>
      </c>
      <c r="F282" s="6"/>
      <c r="G282" s="34">
        <v>0</v>
      </c>
      <c r="H282" s="35"/>
    </row>
    <row r="283" spans="1:10" ht="15.75" thickBot="1" x14ac:dyDescent="0.3">
      <c r="A283" s="3" t="s">
        <v>18</v>
      </c>
      <c r="B283" s="6"/>
      <c r="C283" s="7"/>
      <c r="D283" s="7"/>
      <c r="E283" s="6"/>
      <c r="F283" s="6"/>
      <c r="G283" s="34"/>
      <c r="H283" s="35"/>
    </row>
    <row r="284" spans="1:10" ht="45.75" thickBot="1" x14ac:dyDescent="0.3">
      <c r="A284" s="2" t="s">
        <v>19</v>
      </c>
      <c r="B284" s="6"/>
      <c r="C284" s="7"/>
      <c r="D284" s="6"/>
      <c r="E284" s="6"/>
      <c r="F284" s="6"/>
      <c r="G284" s="38"/>
      <c r="H284" s="39"/>
    </row>
    <row r="285" spans="1:10" ht="45.75" thickBot="1" x14ac:dyDescent="0.3">
      <c r="A285" s="2" t="s">
        <v>20</v>
      </c>
      <c r="B285" s="22" t="s">
        <v>8</v>
      </c>
      <c r="C285" s="7"/>
      <c r="D285" s="6"/>
      <c r="E285" s="6">
        <v>5775</v>
      </c>
      <c r="F285" s="6"/>
      <c r="G285" s="34">
        <v>5775</v>
      </c>
      <c r="H285" s="35"/>
    </row>
    <row r="286" spans="1:10" ht="30.75" thickBot="1" x14ac:dyDescent="0.3">
      <c r="A286" s="2" t="s">
        <v>21</v>
      </c>
      <c r="B286" s="6">
        <f>G286*56%</f>
        <v>9973.0400000000009</v>
      </c>
      <c r="C286" s="6"/>
      <c r="D286" s="28">
        <f>G286-B286</f>
        <v>7835.9599999999991</v>
      </c>
      <c r="E286" s="7" t="s">
        <v>8</v>
      </c>
      <c r="F286" s="7" t="s">
        <v>8</v>
      </c>
      <c r="G286" s="34">
        <f>57739-G281-G282+70</f>
        <v>17809</v>
      </c>
      <c r="H286" s="35"/>
    </row>
    <row r="287" spans="1:10" ht="15.75" thickBot="1" x14ac:dyDescent="0.3">
      <c r="A287" s="3" t="s">
        <v>22</v>
      </c>
      <c r="B287" s="6">
        <f>G287*56%</f>
        <v>365.12000000000006</v>
      </c>
      <c r="C287" s="6"/>
      <c r="D287" s="28">
        <f>G287-B287</f>
        <v>286.87999999999994</v>
      </c>
      <c r="E287" s="7" t="s">
        <v>8</v>
      </c>
      <c r="F287" s="7" t="s">
        <v>8</v>
      </c>
      <c r="G287" s="34">
        <f>652</f>
        <v>652</v>
      </c>
      <c r="H287" s="35"/>
    </row>
    <row r="288" spans="1:10" ht="15.75" thickBot="1" x14ac:dyDescent="0.3">
      <c r="A288" s="3" t="s">
        <v>23</v>
      </c>
      <c r="B288" s="7" t="s">
        <v>8</v>
      </c>
      <c r="C288" s="11"/>
      <c r="D288" s="7" t="s">
        <v>8</v>
      </c>
      <c r="E288" s="7" t="s">
        <v>8</v>
      </c>
      <c r="F288" s="7" t="s">
        <v>8</v>
      </c>
      <c r="G288" s="38"/>
      <c r="H288" s="39"/>
    </row>
    <row r="289" spans="1:10" ht="15.75" thickBot="1" x14ac:dyDescent="0.3">
      <c r="A289" s="3" t="s">
        <v>24</v>
      </c>
      <c r="B289" s="6">
        <f>G289*56%</f>
        <v>0</v>
      </c>
      <c r="C289" s="6"/>
      <c r="D289" s="6"/>
      <c r="E289" s="7" t="s">
        <v>8</v>
      </c>
      <c r="F289" s="7" t="s">
        <v>8</v>
      </c>
      <c r="G289" s="34"/>
      <c r="H289" s="35"/>
      <c r="J289" s="9"/>
    </row>
    <row r="290" spans="1:10" ht="15.75" thickBot="1" x14ac:dyDescent="0.3">
      <c r="A290" s="4" t="s">
        <v>25</v>
      </c>
      <c r="B290" s="6">
        <f>SUM(B274:B289)</f>
        <v>226843.51999999999</v>
      </c>
      <c r="C290" s="6"/>
      <c r="D290" s="6">
        <f>SUM(D274:D289)</f>
        <v>82303.48000000001</v>
      </c>
      <c r="E290" s="6">
        <f>SUM(E274:E289)</f>
        <v>45775</v>
      </c>
      <c r="F290" s="6"/>
      <c r="G290" s="34">
        <f>SUM(G274:H289)</f>
        <v>354922</v>
      </c>
      <c r="H290" s="35"/>
      <c r="J290" s="9"/>
    </row>
    <row r="291" spans="1:10" x14ac:dyDescent="0.25">
      <c r="A291" s="36" t="s">
        <v>26</v>
      </c>
      <c r="B291" s="36"/>
      <c r="C291" s="36"/>
      <c r="D291" s="36"/>
      <c r="E291" s="36"/>
      <c r="F291" s="36"/>
      <c r="G291" s="36"/>
      <c r="H291" s="36"/>
    </row>
    <row r="292" spans="1:10" x14ac:dyDescent="0.25">
      <c r="A292" s="37" t="s">
        <v>27</v>
      </c>
      <c r="B292" s="37"/>
      <c r="C292" s="37"/>
      <c r="D292" s="37"/>
      <c r="E292" s="37"/>
      <c r="F292" s="37"/>
      <c r="G292" s="37"/>
      <c r="H292" s="37"/>
    </row>
    <row r="293" spans="1:10" x14ac:dyDescent="0.25">
      <c r="A293" s="37" t="s">
        <v>28</v>
      </c>
      <c r="B293" s="37"/>
      <c r="C293" s="37"/>
      <c r="D293" s="37"/>
      <c r="E293" s="37"/>
      <c r="F293" s="37"/>
      <c r="G293" s="37"/>
      <c r="H293" s="37"/>
    </row>
    <row r="294" spans="1:10" x14ac:dyDescent="0.25">
      <c r="A294" s="1"/>
      <c r="B294" s="8"/>
      <c r="C294" s="8"/>
      <c r="D294" s="8"/>
      <c r="E294" s="8"/>
      <c r="F294" s="8"/>
      <c r="G294" s="8"/>
      <c r="H294" s="8"/>
    </row>
    <row r="295" spans="1:10" ht="15.75" x14ac:dyDescent="0.25">
      <c r="A295" s="5"/>
    </row>
    <row r="296" spans="1:10" x14ac:dyDescent="0.25">
      <c r="B296" s="12" t="s">
        <v>100</v>
      </c>
      <c r="C296" s="12">
        <v>269432</v>
      </c>
    </row>
    <row r="297" spans="1:10" x14ac:dyDescent="0.25">
      <c r="C297" s="9">
        <f>C296-B290</f>
        <v>42588.48000000001</v>
      </c>
      <c r="D297"/>
      <c r="E297"/>
      <c r="F297"/>
      <c r="G297"/>
      <c r="H297"/>
    </row>
    <row r="298" spans="1:10" x14ac:dyDescent="0.25">
      <c r="D298"/>
      <c r="E298"/>
      <c r="F298"/>
      <c r="G298"/>
      <c r="H298"/>
    </row>
    <row r="299" spans="1:10" x14ac:dyDescent="0.25">
      <c r="A299" s="29"/>
      <c r="B299" s="30"/>
      <c r="C299" s="30"/>
      <c r="D299" s="30"/>
      <c r="E299" s="56" t="s">
        <v>29</v>
      </c>
      <c r="F299" s="56"/>
      <c r="G299" s="56"/>
      <c r="H299" s="56"/>
    </row>
    <row r="300" spans="1:10" x14ac:dyDescent="0.25">
      <c r="A300" s="57"/>
      <c r="B300" s="58"/>
      <c r="C300" s="58"/>
      <c r="D300" s="59"/>
      <c r="E300" s="59" t="s">
        <v>0</v>
      </c>
      <c r="F300" s="59"/>
      <c r="G300" s="59"/>
      <c r="H300" s="59"/>
    </row>
    <row r="301" spans="1:10" x14ac:dyDescent="0.25">
      <c r="A301" s="57"/>
      <c r="B301" s="58"/>
      <c r="C301" s="58"/>
      <c r="D301" s="59"/>
      <c r="E301" s="59" t="s">
        <v>1</v>
      </c>
      <c r="F301" s="59"/>
      <c r="G301" s="59"/>
      <c r="H301" s="59"/>
    </row>
    <row r="302" spans="1:10" ht="15.75" thickBot="1" x14ac:dyDescent="0.3">
      <c r="A302" s="42" t="s">
        <v>101</v>
      </c>
      <c r="B302" s="42"/>
      <c r="C302" s="42"/>
      <c r="D302" s="42"/>
      <c r="E302" s="42"/>
      <c r="F302" s="42"/>
      <c r="G302" s="43"/>
      <c r="H302" s="43"/>
    </row>
    <row r="303" spans="1:10" ht="15.75" thickBot="1" x14ac:dyDescent="0.3">
      <c r="A303" s="44" t="s">
        <v>2</v>
      </c>
      <c r="B303" s="47" t="s">
        <v>30</v>
      </c>
      <c r="C303" s="48"/>
      <c r="D303" s="48"/>
      <c r="E303" s="48"/>
      <c r="F303" s="48"/>
      <c r="G303" s="49" t="s">
        <v>3</v>
      </c>
      <c r="H303" s="50"/>
    </row>
    <row r="304" spans="1:10" ht="105.75" thickBot="1" x14ac:dyDescent="0.3">
      <c r="A304" s="45"/>
      <c r="B304" s="40" t="s">
        <v>30</v>
      </c>
      <c r="C304" s="51"/>
      <c r="D304" s="27" t="s">
        <v>32</v>
      </c>
      <c r="E304" s="51" t="s">
        <v>4</v>
      </c>
      <c r="F304" s="41"/>
      <c r="G304" s="52"/>
      <c r="H304" s="53"/>
    </row>
    <row r="305" spans="1:10" ht="150.75" thickBot="1" x14ac:dyDescent="0.3">
      <c r="A305" s="46"/>
      <c r="B305" s="33" t="s">
        <v>36</v>
      </c>
      <c r="C305" s="33" t="s">
        <v>5</v>
      </c>
      <c r="D305" s="33" t="s">
        <v>33</v>
      </c>
      <c r="E305" s="33" t="s">
        <v>34</v>
      </c>
      <c r="F305" s="33" t="s">
        <v>35</v>
      </c>
      <c r="G305" s="54"/>
      <c r="H305" s="55"/>
    </row>
    <row r="306" spans="1:10" ht="15.75" thickBot="1" x14ac:dyDescent="0.3">
      <c r="A306" s="26">
        <v>1</v>
      </c>
      <c r="B306" s="33">
        <v>2</v>
      </c>
      <c r="C306" s="10">
        <v>3</v>
      </c>
      <c r="D306" s="33">
        <v>4</v>
      </c>
      <c r="E306" s="10">
        <v>5</v>
      </c>
      <c r="F306" s="33">
        <v>6</v>
      </c>
      <c r="G306" s="40" t="s">
        <v>37</v>
      </c>
      <c r="H306" s="41"/>
    </row>
    <row r="307" spans="1:10" ht="60.75" thickBot="1" x14ac:dyDescent="0.3">
      <c r="A307" s="2" t="s">
        <v>7</v>
      </c>
      <c r="B307" s="6">
        <f>B308</f>
        <v>177203.12</v>
      </c>
      <c r="C307" s="11"/>
      <c r="D307" s="6">
        <f>D308</f>
        <v>55958.880000000005</v>
      </c>
      <c r="E307" s="7" t="s">
        <v>8</v>
      </c>
      <c r="F307" s="7" t="s">
        <v>8</v>
      </c>
      <c r="G307" s="34">
        <f>235604-1100-1342</f>
        <v>233162</v>
      </c>
      <c r="H307" s="35"/>
    </row>
    <row r="308" spans="1:10" ht="15.75" thickBot="1" x14ac:dyDescent="0.3">
      <c r="A308" s="3" t="s">
        <v>9</v>
      </c>
      <c r="B308" s="6">
        <f>G308*76%</f>
        <v>177203.12</v>
      </c>
      <c r="C308" s="11"/>
      <c r="D308" s="28">
        <f>G308-B308</f>
        <v>55958.880000000005</v>
      </c>
      <c r="E308" s="7" t="s">
        <v>8</v>
      </c>
      <c r="F308" s="7" t="s">
        <v>8</v>
      </c>
      <c r="G308" s="34">
        <f>G307-G309</f>
        <v>233162</v>
      </c>
      <c r="H308" s="35"/>
    </row>
    <row r="309" spans="1:10" ht="15.75" thickBot="1" x14ac:dyDescent="0.3">
      <c r="A309" s="2" t="s">
        <v>10</v>
      </c>
      <c r="B309" s="6">
        <v>0</v>
      </c>
      <c r="C309" s="11"/>
      <c r="D309" s="6">
        <v>0</v>
      </c>
      <c r="E309" s="7" t="s">
        <v>8</v>
      </c>
      <c r="F309" s="7" t="s">
        <v>8</v>
      </c>
      <c r="G309" s="60"/>
      <c r="H309" s="35"/>
    </row>
    <row r="310" spans="1:10" ht="60.75" thickBot="1" x14ac:dyDescent="0.3">
      <c r="A310" s="2" t="s">
        <v>11</v>
      </c>
      <c r="B310" s="6">
        <f>G310*76%</f>
        <v>56540.959999999999</v>
      </c>
      <c r="C310" s="11"/>
      <c r="D310" s="28">
        <f>G310-B310</f>
        <v>17855.04</v>
      </c>
      <c r="E310" s="7" t="s">
        <v>8</v>
      </c>
      <c r="F310" s="7" t="s">
        <v>8</v>
      </c>
      <c r="G310" s="34">
        <f>74991-595</f>
        <v>74396</v>
      </c>
      <c r="H310" s="35"/>
    </row>
    <row r="311" spans="1:10" ht="30.75" thickBot="1" x14ac:dyDescent="0.3">
      <c r="A311" s="2" t="s">
        <v>12</v>
      </c>
      <c r="B311" s="6">
        <f>G311*76%</f>
        <v>2308.12</v>
      </c>
      <c r="C311" s="11"/>
      <c r="D311" s="28">
        <f>G311-B311</f>
        <v>728.88000000000011</v>
      </c>
      <c r="E311" s="7" t="s">
        <v>8</v>
      </c>
      <c r="F311" s="7" t="s">
        <v>8</v>
      </c>
      <c r="G311" s="34">
        <f>1100+1342+595</f>
        <v>3037</v>
      </c>
      <c r="H311" s="35"/>
    </row>
    <row r="312" spans="1:10" ht="15.75" thickBot="1" x14ac:dyDescent="0.3">
      <c r="A312" s="2" t="s">
        <v>13</v>
      </c>
      <c r="B312" s="6">
        <f>G312*56%</f>
        <v>0</v>
      </c>
      <c r="C312" s="6"/>
      <c r="D312" s="28">
        <f>G312-B312</f>
        <v>0</v>
      </c>
      <c r="E312" s="7" t="s">
        <v>8</v>
      </c>
      <c r="F312" s="7" t="s">
        <v>8</v>
      </c>
      <c r="G312" s="34">
        <v>0</v>
      </c>
      <c r="H312" s="35"/>
    </row>
    <row r="313" spans="1:10" ht="30.75" thickBot="1" x14ac:dyDescent="0.3">
      <c r="A313" s="2" t="s">
        <v>14</v>
      </c>
      <c r="B313" s="6">
        <f>G313*56%</f>
        <v>16245.04</v>
      </c>
      <c r="C313" s="6"/>
      <c r="D313" s="28">
        <f>G313-B313</f>
        <v>12763.96</v>
      </c>
      <c r="E313" s="7" t="s">
        <v>8</v>
      </c>
      <c r="F313" s="7" t="s">
        <v>8</v>
      </c>
      <c r="G313" s="34">
        <f>27347+459+1203</f>
        <v>29009</v>
      </c>
      <c r="H313" s="35"/>
      <c r="J313" s="9"/>
    </row>
    <row r="314" spans="1:10" ht="45.75" thickBot="1" x14ac:dyDescent="0.3">
      <c r="A314" s="2" t="s">
        <v>15</v>
      </c>
      <c r="B314" s="7" t="s">
        <v>8</v>
      </c>
      <c r="C314" s="7" t="s">
        <v>8</v>
      </c>
      <c r="D314" s="6"/>
      <c r="E314" s="7" t="s">
        <v>8</v>
      </c>
      <c r="F314" s="7" t="s">
        <v>8</v>
      </c>
      <c r="G314" s="34"/>
      <c r="H314" s="35"/>
    </row>
    <row r="315" spans="1:10" ht="15.75" thickBot="1" x14ac:dyDescent="0.3">
      <c r="A315" s="2" t="s">
        <v>16</v>
      </c>
      <c r="B315" s="7" t="s">
        <v>8</v>
      </c>
      <c r="C315" s="7" t="s">
        <v>8</v>
      </c>
      <c r="D315" s="11"/>
      <c r="E315" s="6">
        <f>G315</f>
        <v>45000</v>
      </c>
      <c r="F315" s="6"/>
      <c r="G315" s="34">
        <v>45000</v>
      </c>
      <c r="H315" s="35"/>
    </row>
    <row r="316" spans="1:10" ht="15.75" thickBot="1" x14ac:dyDescent="0.3">
      <c r="A316" s="3" t="s">
        <v>17</v>
      </c>
      <c r="B316" s="6">
        <f>G316*56%</f>
        <v>0</v>
      </c>
      <c r="C316" s="7"/>
      <c r="D316" s="6"/>
      <c r="E316" s="6">
        <f>G316-B316</f>
        <v>0</v>
      </c>
      <c r="F316" s="6"/>
      <c r="G316" s="34">
        <v>0</v>
      </c>
      <c r="H316" s="35"/>
    </row>
    <row r="317" spans="1:10" ht="15.75" thickBot="1" x14ac:dyDescent="0.3">
      <c r="A317" s="3" t="s">
        <v>18</v>
      </c>
      <c r="B317" s="6"/>
      <c r="C317" s="7"/>
      <c r="D317" s="7"/>
      <c r="E317" s="6"/>
      <c r="F317" s="6"/>
      <c r="G317" s="34"/>
      <c r="H317" s="35"/>
    </row>
    <row r="318" spans="1:10" ht="45.75" thickBot="1" x14ac:dyDescent="0.3">
      <c r="A318" s="2" t="s">
        <v>19</v>
      </c>
      <c r="B318" s="6"/>
      <c r="C318" s="7"/>
      <c r="D318" s="6"/>
      <c r="E318" s="6"/>
      <c r="F318" s="6"/>
      <c r="G318" s="38"/>
      <c r="H318" s="39"/>
    </row>
    <row r="319" spans="1:10" ht="45.75" thickBot="1" x14ac:dyDescent="0.3">
      <c r="A319" s="2" t="s">
        <v>20</v>
      </c>
      <c r="B319" s="6"/>
      <c r="C319" s="7"/>
      <c r="D319" s="6"/>
      <c r="E319" s="6">
        <v>6461</v>
      </c>
      <c r="F319" s="6"/>
      <c r="G319" s="34">
        <v>6461</v>
      </c>
      <c r="H319" s="35"/>
    </row>
    <row r="320" spans="1:10" ht="30.75" thickBot="1" x14ac:dyDescent="0.3">
      <c r="A320" s="2" t="s">
        <v>21</v>
      </c>
      <c r="B320" s="6">
        <f>G320*56%</f>
        <v>10467.52</v>
      </c>
      <c r="C320" s="6"/>
      <c r="D320" s="28">
        <f>G320-B320</f>
        <v>8224.48</v>
      </c>
      <c r="E320" s="7" t="s">
        <v>8</v>
      </c>
      <c r="F320" s="7" t="s">
        <v>8</v>
      </c>
      <c r="G320" s="34">
        <f>63622-G315-G316+70</f>
        <v>18692</v>
      </c>
      <c r="H320" s="35"/>
    </row>
    <row r="321" spans="1:10" ht="15.75" thickBot="1" x14ac:dyDescent="0.3">
      <c r="A321" s="3" t="s">
        <v>22</v>
      </c>
      <c r="B321" s="6">
        <f>G321*56%</f>
        <v>385.84000000000003</v>
      </c>
      <c r="C321" s="6"/>
      <c r="D321" s="28">
        <f>G321-B321</f>
        <v>303.15999999999997</v>
      </c>
      <c r="E321" s="7" t="s">
        <v>8</v>
      </c>
      <c r="F321" s="7" t="s">
        <v>8</v>
      </c>
      <c r="G321" s="34">
        <v>689</v>
      </c>
      <c r="H321" s="35"/>
    </row>
    <row r="322" spans="1:10" ht="15.75" thickBot="1" x14ac:dyDescent="0.3">
      <c r="A322" s="3" t="s">
        <v>23</v>
      </c>
      <c r="B322" s="7" t="s">
        <v>8</v>
      </c>
      <c r="C322" s="11"/>
      <c r="D322" s="7" t="s">
        <v>8</v>
      </c>
      <c r="E322" s="7" t="s">
        <v>8</v>
      </c>
      <c r="F322" s="7" t="s">
        <v>8</v>
      </c>
      <c r="G322" s="38"/>
      <c r="H322" s="39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7" t="s">
        <v>8</v>
      </c>
      <c r="F323" s="7" t="s">
        <v>8</v>
      </c>
      <c r="G323" s="34"/>
      <c r="H323" s="35"/>
      <c r="J323" s="9"/>
    </row>
    <row r="324" spans="1:10" ht="15.75" thickBot="1" x14ac:dyDescent="0.3">
      <c r="A324" s="4" t="s">
        <v>25</v>
      </c>
      <c r="B324" s="6">
        <f>SUM(B308:B323)</f>
        <v>263150.60000000003</v>
      </c>
      <c r="C324" s="6"/>
      <c r="D324" s="6">
        <f>SUM(D308:D323)</f>
        <v>95834.400000000009</v>
      </c>
      <c r="E324" s="6">
        <f>SUM(E308:E323)</f>
        <v>51461</v>
      </c>
      <c r="F324" s="6"/>
      <c r="G324" s="34">
        <f>SUM(G308:H323)</f>
        <v>410446</v>
      </c>
      <c r="H324" s="35"/>
      <c r="J324" s="9"/>
    </row>
    <row r="325" spans="1:10" x14ac:dyDescent="0.25">
      <c r="A325" s="36" t="s">
        <v>26</v>
      </c>
      <c r="B325" s="36"/>
      <c r="C325" s="36"/>
      <c r="D325" s="36"/>
      <c r="E325" s="36"/>
      <c r="F325" s="36"/>
      <c r="G325" s="36"/>
      <c r="H325" s="36"/>
    </row>
    <row r="326" spans="1:10" x14ac:dyDescent="0.25">
      <c r="A326" s="37" t="s">
        <v>27</v>
      </c>
      <c r="B326" s="37"/>
      <c r="C326" s="37"/>
      <c r="D326" s="37"/>
      <c r="E326" s="37"/>
      <c r="F326" s="37"/>
      <c r="G326" s="37"/>
      <c r="H326" s="37"/>
    </row>
    <row r="327" spans="1:10" x14ac:dyDescent="0.25">
      <c r="A327" s="37" t="s">
        <v>28</v>
      </c>
      <c r="B327" s="37"/>
      <c r="C327" s="37"/>
      <c r="D327" s="37"/>
      <c r="E327" s="37"/>
      <c r="F327" s="37"/>
      <c r="G327" s="37"/>
      <c r="H327" s="37"/>
    </row>
    <row r="328" spans="1:10" x14ac:dyDescent="0.25">
      <c r="A328" s="1"/>
      <c r="B328" s="8"/>
      <c r="C328" s="8"/>
      <c r="D328" s="8"/>
      <c r="E328" s="8"/>
      <c r="F328" s="8"/>
      <c r="G328" s="8"/>
      <c r="H328" s="8"/>
    </row>
    <row r="329" spans="1:10" ht="15.75" x14ac:dyDescent="0.25">
      <c r="A329" s="5"/>
    </row>
    <row r="330" spans="1:10" x14ac:dyDescent="0.25">
      <c r="B330" s="12" t="s">
        <v>102</v>
      </c>
      <c r="C330" s="12">
        <v>295718</v>
      </c>
    </row>
    <row r="331" spans="1:10" x14ac:dyDescent="0.25">
      <c r="C331" s="9">
        <f>C330-B324</f>
        <v>32567.399999999965</v>
      </c>
      <c r="D331"/>
      <c r="E331"/>
      <c r="F331"/>
      <c r="G331"/>
      <c r="H331"/>
    </row>
    <row r="332" spans="1:10" x14ac:dyDescent="0.25">
      <c r="D332"/>
      <c r="E332"/>
      <c r="F332"/>
      <c r="G332"/>
      <c r="H332"/>
    </row>
    <row r="333" spans="1:10" x14ac:dyDescent="0.25">
      <c r="D333"/>
      <c r="E333"/>
      <c r="F333"/>
      <c r="G333"/>
      <c r="H333"/>
    </row>
    <row r="334" spans="1:10" x14ac:dyDescent="0.25">
      <c r="D334"/>
      <c r="E334"/>
      <c r="F334"/>
      <c r="G334"/>
      <c r="H334"/>
    </row>
    <row r="335" spans="1:10" x14ac:dyDescent="0.25">
      <c r="D335"/>
      <c r="E335"/>
      <c r="F335"/>
      <c r="G335"/>
      <c r="H335"/>
    </row>
    <row r="336" spans="1:10" x14ac:dyDescent="0.25">
      <c r="D336"/>
      <c r="E336"/>
      <c r="F336"/>
      <c r="G336"/>
      <c r="H336"/>
    </row>
    <row r="337" spans="1:11" x14ac:dyDescent="0.25">
      <c r="A337" s="29"/>
      <c r="B337" s="30"/>
      <c r="C337" s="30"/>
      <c r="D337" s="30"/>
      <c r="E337" s="56" t="s">
        <v>29</v>
      </c>
      <c r="F337" s="56"/>
      <c r="G337" s="56"/>
      <c r="H337" s="56"/>
    </row>
    <row r="338" spans="1:11" x14ac:dyDescent="0.25">
      <c r="A338" s="57"/>
      <c r="B338" s="58"/>
      <c r="C338" s="58"/>
      <c r="D338" s="59"/>
      <c r="E338" s="59" t="s">
        <v>0</v>
      </c>
      <c r="F338" s="59"/>
      <c r="G338" s="59"/>
      <c r="H338" s="59"/>
    </row>
    <row r="339" spans="1:11" x14ac:dyDescent="0.25">
      <c r="A339" s="57"/>
      <c r="B339" s="58"/>
      <c r="C339" s="58"/>
      <c r="D339" s="59"/>
      <c r="E339" s="59" t="s">
        <v>1</v>
      </c>
      <c r="F339" s="59"/>
      <c r="G339" s="59"/>
      <c r="H339" s="59"/>
    </row>
    <row r="340" spans="1:11" ht="15.75" thickBot="1" x14ac:dyDescent="0.3">
      <c r="A340" s="42" t="s">
        <v>103</v>
      </c>
      <c r="B340" s="42"/>
      <c r="C340" s="42"/>
      <c r="D340" s="42"/>
      <c r="E340" s="42"/>
      <c r="F340" s="42"/>
      <c r="G340" s="43"/>
      <c r="H340" s="43"/>
    </row>
    <row r="341" spans="1:11" ht="15.75" thickBot="1" x14ac:dyDescent="0.3">
      <c r="A341" s="44" t="s">
        <v>2</v>
      </c>
      <c r="B341" s="47" t="s">
        <v>30</v>
      </c>
      <c r="C341" s="48"/>
      <c r="D341" s="48"/>
      <c r="E341" s="48"/>
      <c r="F341" s="48"/>
      <c r="G341" s="49" t="s">
        <v>3</v>
      </c>
      <c r="H341" s="50"/>
    </row>
    <row r="342" spans="1:11" ht="105.75" thickBot="1" x14ac:dyDescent="0.3">
      <c r="A342" s="45"/>
      <c r="B342" s="40" t="s">
        <v>30</v>
      </c>
      <c r="C342" s="51"/>
      <c r="D342" s="27" t="s">
        <v>32</v>
      </c>
      <c r="E342" s="51" t="s">
        <v>4</v>
      </c>
      <c r="F342" s="41"/>
      <c r="G342" s="52"/>
      <c r="H342" s="53"/>
    </row>
    <row r="343" spans="1:11" ht="150.75" thickBot="1" x14ac:dyDescent="0.3">
      <c r="A343" s="46"/>
      <c r="B343" s="33" t="s">
        <v>36</v>
      </c>
      <c r="C343" s="33" t="s">
        <v>5</v>
      </c>
      <c r="D343" s="33" t="s">
        <v>33</v>
      </c>
      <c r="E343" s="33" t="s">
        <v>34</v>
      </c>
      <c r="F343" s="33" t="s">
        <v>35</v>
      </c>
      <c r="G343" s="54"/>
      <c r="H343" s="55"/>
    </row>
    <row r="344" spans="1:11" ht="15.75" thickBot="1" x14ac:dyDescent="0.3">
      <c r="A344" s="26">
        <v>1</v>
      </c>
      <c r="B344" s="33">
        <v>2</v>
      </c>
      <c r="C344" s="10">
        <v>3</v>
      </c>
      <c r="D344" s="33">
        <v>4</v>
      </c>
      <c r="E344" s="10">
        <v>5</v>
      </c>
      <c r="F344" s="33">
        <v>6</v>
      </c>
      <c r="G344" s="40" t="s">
        <v>37</v>
      </c>
      <c r="H344" s="41"/>
    </row>
    <row r="345" spans="1:11" ht="60.75" thickBot="1" x14ac:dyDescent="0.3">
      <c r="A345" s="2" t="s">
        <v>7</v>
      </c>
      <c r="B345" s="6">
        <f>B346</f>
        <v>202659.32</v>
      </c>
      <c r="C345" s="11"/>
      <c r="D345" s="6">
        <f>D346</f>
        <v>63997.679999999993</v>
      </c>
      <c r="E345" s="7" t="s">
        <v>8</v>
      </c>
      <c r="F345" s="7" t="s">
        <v>8</v>
      </c>
      <c r="G345" s="34">
        <f>269345-1100-1588</f>
        <v>266657</v>
      </c>
      <c r="H345" s="35"/>
    </row>
    <row r="346" spans="1:11" ht="15.75" thickBot="1" x14ac:dyDescent="0.3">
      <c r="A346" s="3" t="s">
        <v>9</v>
      </c>
      <c r="B346" s="6">
        <f>G346*76%</f>
        <v>202659.32</v>
      </c>
      <c r="C346" s="11"/>
      <c r="D346" s="28">
        <f>G346-B346</f>
        <v>63997.679999999993</v>
      </c>
      <c r="E346" s="7" t="s">
        <v>8</v>
      </c>
      <c r="F346" s="7" t="s">
        <v>8</v>
      </c>
      <c r="G346" s="34">
        <f>G345-G347</f>
        <v>266657</v>
      </c>
      <c r="H346" s="35"/>
    </row>
    <row r="347" spans="1:11" ht="15.75" thickBot="1" x14ac:dyDescent="0.3">
      <c r="A347" s="2" t="s">
        <v>10</v>
      </c>
      <c r="B347" s="6">
        <v>0</v>
      </c>
      <c r="C347" s="11"/>
      <c r="D347" s="6">
        <v>0</v>
      </c>
      <c r="E347" s="7" t="s">
        <v>8</v>
      </c>
      <c r="F347" s="7" t="s">
        <v>8</v>
      </c>
      <c r="G347" s="60"/>
      <c r="H347" s="35"/>
    </row>
    <row r="348" spans="1:11" ht="60.75" thickBot="1" x14ac:dyDescent="0.3">
      <c r="A348" s="2" t="s">
        <v>11</v>
      </c>
      <c r="B348" s="6">
        <f>G348*76%</f>
        <v>63920.56</v>
      </c>
      <c r="C348" s="11"/>
      <c r="D348" s="28">
        <f>G348-B348</f>
        <v>20185.440000000002</v>
      </c>
      <c r="E348" s="7" t="s">
        <v>8</v>
      </c>
      <c r="F348" s="7" t="s">
        <v>8</v>
      </c>
      <c r="G348" s="34">
        <f>84753-647</f>
        <v>84106</v>
      </c>
      <c r="H348" s="35"/>
    </row>
    <row r="349" spans="1:11" ht="30.75" thickBot="1" x14ac:dyDescent="0.3">
      <c r="A349" s="2" t="s">
        <v>12</v>
      </c>
      <c r="B349" s="6">
        <f>G349*76%</f>
        <v>2534.6</v>
      </c>
      <c r="C349" s="11"/>
      <c r="D349" s="28">
        <f>G349-B349</f>
        <v>800.40000000000009</v>
      </c>
      <c r="E349" s="7" t="s">
        <v>8</v>
      </c>
      <c r="F349" s="7" t="s">
        <v>8</v>
      </c>
      <c r="G349" s="34">
        <f>647+1100+1588</f>
        <v>3335</v>
      </c>
      <c r="H349" s="35"/>
    </row>
    <row r="350" spans="1:11" ht="15.75" thickBot="1" x14ac:dyDescent="0.3">
      <c r="A350" s="2" t="s">
        <v>13</v>
      </c>
      <c r="B350" s="6">
        <f>G350*56%</f>
        <v>0</v>
      </c>
      <c r="C350" s="6"/>
      <c r="D350" s="28">
        <f>G350-B350</f>
        <v>0</v>
      </c>
      <c r="E350" s="7" t="s">
        <v>8</v>
      </c>
      <c r="F350" s="7" t="s">
        <v>8</v>
      </c>
      <c r="G350" s="34">
        <v>0</v>
      </c>
      <c r="H350" s="35"/>
    </row>
    <row r="351" spans="1:11" ht="30.75" thickBot="1" x14ac:dyDescent="0.3">
      <c r="A351" s="2" t="s">
        <v>14</v>
      </c>
      <c r="B351" s="6">
        <f>G351*56%</f>
        <v>16774.800000000003</v>
      </c>
      <c r="C351" s="6"/>
      <c r="D351" s="28">
        <f>G351-B351</f>
        <v>13180.199999999997</v>
      </c>
      <c r="E351" s="7" t="s">
        <v>8</v>
      </c>
      <c r="F351" s="7" t="s">
        <v>8</v>
      </c>
      <c r="G351" s="34">
        <f>28293+459+1203</f>
        <v>29955</v>
      </c>
      <c r="H351" s="35"/>
      <c r="J351" s="9"/>
      <c r="K351" s="9"/>
    </row>
    <row r="352" spans="1:11" ht="45.75" thickBot="1" x14ac:dyDescent="0.3">
      <c r="A352" s="2" t="s">
        <v>15</v>
      </c>
      <c r="B352" s="7" t="s">
        <v>8</v>
      </c>
      <c r="C352" s="7" t="s">
        <v>8</v>
      </c>
      <c r="D352" s="6"/>
      <c r="E352" s="7" t="s">
        <v>8</v>
      </c>
      <c r="F352" s="7" t="s">
        <v>8</v>
      </c>
      <c r="G352" s="34"/>
      <c r="H352" s="35"/>
    </row>
    <row r="353" spans="1:10" ht="15.75" thickBot="1" x14ac:dyDescent="0.3">
      <c r="A353" s="2" t="s">
        <v>16</v>
      </c>
      <c r="B353" s="7" t="s">
        <v>8</v>
      </c>
      <c r="C353" s="7" t="s">
        <v>8</v>
      </c>
      <c r="D353" s="11"/>
      <c r="E353" s="6">
        <f>G353</f>
        <v>50000</v>
      </c>
      <c r="F353" s="6"/>
      <c r="G353" s="34">
        <v>50000</v>
      </c>
      <c r="H353" s="35"/>
    </row>
    <row r="354" spans="1:10" ht="15.75" thickBot="1" x14ac:dyDescent="0.3">
      <c r="A354" s="3" t="s">
        <v>17</v>
      </c>
      <c r="B354" s="6">
        <f>G354*56%</f>
        <v>0</v>
      </c>
      <c r="C354" s="7"/>
      <c r="D354" s="6"/>
      <c r="E354" s="6">
        <f>G354-B354</f>
        <v>0</v>
      </c>
      <c r="F354" s="6"/>
      <c r="G354" s="34">
        <v>0</v>
      </c>
      <c r="H354" s="35"/>
    </row>
    <row r="355" spans="1:10" ht="15.75" thickBot="1" x14ac:dyDescent="0.3">
      <c r="A355" s="3" t="s">
        <v>18</v>
      </c>
      <c r="B355" s="6"/>
      <c r="C355" s="7"/>
      <c r="D355" s="7"/>
      <c r="E355" s="6"/>
      <c r="F355" s="6"/>
      <c r="G355" s="34"/>
      <c r="H355" s="35"/>
    </row>
    <row r="356" spans="1:10" ht="45.75" thickBot="1" x14ac:dyDescent="0.3">
      <c r="A356" s="2" t="s">
        <v>19</v>
      </c>
      <c r="B356" s="6"/>
      <c r="C356" s="7"/>
      <c r="D356" s="6"/>
      <c r="E356" s="6"/>
      <c r="F356" s="6"/>
      <c r="G356" s="38"/>
      <c r="H356" s="39"/>
    </row>
    <row r="357" spans="1:10" ht="45.75" thickBot="1" x14ac:dyDescent="0.3">
      <c r="A357" s="2" t="s">
        <v>20</v>
      </c>
      <c r="B357" s="6">
        <v>0</v>
      </c>
      <c r="C357" s="7"/>
      <c r="D357" s="6"/>
      <c r="E357" s="6">
        <f>G357-B357</f>
        <v>7068</v>
      </c>
      <c r="F357" s="6"/>
      <c r="G357" s="34">
        <v>7068</v>
      </c>
      <c r="H357" s="35"/>
      <c r="J357" s="9"/>
    </row>
    <row r="358" spans="1:10" ht="30.75" thickBot="1" x14ac:dyDescent="0.3">
      <c r="A358" s="2" t="s">
        <v>21</v>
      </c>
      <c r="B358" s="6">
        <f>G358*56%</f>
        <v>10856.160000000002</v>
      </c>
      <c r="C358" s="6"/>
      <c r="D358" s="28">
        <f>G358-B358</f>
        <v>8529.8399999999983</v>
      </c>
      <c r="E358" s="7" t="s">
        <v>8</v>
      </c>
      <c r="F358" s="7" t="s">
        <v>8</v>
      </c>
      <c r="G358" s="34">
        <f>69316-G353-G354+70</f>
        <v>19386</v>
      </c>
      <c r="H358" s="35"/>
    </row>
    <row r="359" spans="1:10" ht="15.75" thickBot="1" x14ac:dyDescent="0.3">
      <c r="A359" s="3" t="s">
        <v>22</v>
      </c>
      <c r="B359" s="6">
        <f>G359*56%</f>
        <v>407.68000000000006</v>
      </c>
      <c r="C359" s="6"/>
      <c r="D359" s="28">
        <f>G359-B359</f>
        <v>320.31999999999994</v>
      </c>
      <c r="E359" s="7" t="s">
        <v>8</v>
      </c>
      <c r="F359" s="7" t="s">
        <v>8</v>
      </c>
      <c r="G359" s="34">
        <v>728</v>
      </c>
      <c r="H359" s="35"/>
    </row>
    <row r="360" spans="1:10" ht="15.75" thickBot="1" x14ac:dyDescent="0.3">
      <c r="A360" s="3" t="s">
        <v>23</v>
      </c>
      <c r="B360" s="7" t="s">
        <v>8</v>
      </c>
      <c r="C360" s="11"/>
      <c r="D360" s="7" t="s">
        <v>8</v>
      </c>
      <c r="E360" s="7" t="s">
        <v>8</v>
      </c>
      <c r="F360" s="7" t="s">
        <v>8</v>
      </c>
      <c r="G360" s="38"/>
      <c r="H360" s="39"/>
    </row>
    <row r="361" spans="1:10" ht="15.75" thickBot="1" x14ac:dyDescent="0.3">
      <c r="A361" s="3" t="s">
        <v>24</v>
      </c>
      <c r="B361" s="6">
        <f>G361*56%</f>
        <v>0</v>
      </c>
      <c r="C361" s="6"/>
      <c r="D361" s="6"/>
      <c r="E361" s="7" t="s">
        <v>8</v>
      </c>
      <c r="F361" s="7" t="s">
        <v>8</v>
      </c>
      <c r="G361" s="34"/>
      <c r="H361" s="35"/>
      <c r="J361" s="9"/>
    </row>
    <row r="362" spans="1:10" ht="15.75" thickBot="1" x14ac:dyDescent="0.3">
      <c r="A362" s="4" t="s">
        <v>25</v>
      </c>
      <c r="B362" s="6">
        <f>SUM(B346:B361)</f>
        <v>297153.11999999994</v>
      </c>
      <c r="C362" s="6"/>
      <c r="D362" s="6">
        <f>SUM(D346:D361)</f>
        <v>107013.87999999999</v>
      </c>
      <c r="E362" s="6">
        <f>SUM(E346:E361)</f>
        <v>57068</v>
      </c>
      <c r="F362" s="6"/>
      <c r="G362" s="34">
        <f>SUM(G346:H361)</f>
        <v>461235</v>
      </c>
      <c r="H362" s="35"/>
      <c r="J362" s="9"/>
    </row>
    <row r="363" spans="1:10" x14ac:dyDescent="0.25">
      <c r="A363" s="36" t="s">
        <v>26</v>
      </c>
      <c r="B363" s="36"/>
      <c r="C363" s="36"/>
      <c r="D363" s="36"/>
      <c r="E363" s="36"/>
      <c r="F363" s="36"/>
      <c r="G363" s="36"/>
      <c r="H363" s="36"/>
    </row>
    <row r="364" spans="1:10" x14ac:dyDescent="0.25">
      <c r="A364" s="37" t="s">
        <v>27</v>
      </c>
      <c r="B364" s="37"/>
      <c r="C364" s="37"/>
      <c r="D364" s="37"/>
      <c r="E364" s="37"/>
      <c r="F364" s="37"/>
      <c r="G364" s="37"/>
      <c r="H364" s="37"/>
    </row>
    <row r="365" spans="1:10" x14ac:dyDescent="0.25">
      <c r="A365" s="37" t="s">
        <v>28</v>
      </c>
      <c r="B365" s="37"/>
      <c r="C365" s="37"/>
      <c r="D365" s="37"/>
      <c r="E365" s="37"/>
      <c r="F365" s="37"/>
      <c r="G365" s="37"/>
      <c r="H365" s="37"/>
    </row>
    <row r="366" spans="1:10" x14ac:dyDescent="0.25">
      <c r="A366" s="1"/>
      <c r="B366" s="8"/>
      <c r="C366" s="8"/>
      <c r="D366" s="8"/>
      <c r="E366" s="8"/>
      <c r="F366" s="8"/>
      <c r="G366" s="8"/>
      <c r="H366" s="8"/>
    </row>
    <row r="367" spans="1:10" ht="15.75" x14ac:dyDescent="0.25">
      <c r="A367" s="5"/>
    </row>
    <row r="368" spans="1:10" x14ac:dyDescent="0.25">
      <c r="B368" s="12" t="s">
        <v>104</v>
      </c>
      <c r="C368" s="12">
        <v>328575</v>
      </c>
    </row>
    <row r="369" spans="1:8" x14ac:dyDescent="0.25">
      <c r="C369" s="9">
        <f>C368-B362</f>
        <v>31421.880000000063</v>
      </c>
      <c r="D369"/>
      <c r="E369"/>
      <c r="F369"/>
      <c r="G369"/>
      <c r="H369"/>
    </row>
    <row r="370" spans="1:8" x14ac:dyDescent="0.25">
      <c r="D370"/>
      <c r="E370"/>
      <c r="F370"/>
      <c r="G370"/>
      <c r="H370"/>
    </row>
    <row r="371" spans="1:8" x14ac:dyDescent="0.25">
      <c r="D371"/>
      <c r="E371"/>
      <c r="F371"/>
      <c r="G371"/>
      <c r="H371"/>
    </row>
    <row r="372" spans="1:8" x14ac:dyDescent="0.25">
      <c r="D372"/>
      <c r="E372"/>
      <c r="F372"/>
      <c r="G372"/>
      <c r="H372"/>
    </row>
    <row r="373" spans="1:8" x14ac:dyDescent="0.25">
      <c r="A373" s="29"/>
      <c r="B373" s="30"/>
      <c r="C373" s="30"/>
      <c r="D373" s="30"/>
      <c r="E373" s="56" t="s">
        <v>29</v>
      </c>
      <c r="F373" s="56"/>
      <c r="G373" s="56"/>
      <c r="H373" s="56"/>
    </row>
    <row r="374" spans="1:8" x14ac:dyDescent="0.25">
      <c r="A374" s="57"/>
      <c r="B374" s="58"/>
      <c r="C374" s="58"/>
      <c r="D374" s="59"/>
      <c r="E374" s="59" t="s">
        <v>0</v>
      </c>
      <c r="F374" s="59"/>
      <c r="G374" s="59"/>
      <c r="H374" s="59"/>
    </row>
    <row r="375" spans="1:8" x14ac:dyDescent="0.25">
      <c r="A375" s="57"/>
      <c r="B375" s="58"/>
      <c r="C375" s="58"/>
      <c r="D375" s="59"/>
      <c r="E375" s="66" t="s">
        <v>1</v>
      </c>
      <c r="F375" s="59"/>
      <c r="G375" s="59"/>
      <c r="H375" s="59"/>
    </row>
    <row r="376" spans="1:8" ht="15.75" thickBot="1" x14ac:dyDescent="0.3">
      <c r="A376" s="42" t="s">
        <v>105</v>
      </c>
      <c r="B376" s="42"/>
      <c r="C376" s="42"/>
      <c r="D376" s="42"/>
      <c r="E376" s="42"/>
      <c r="F376" s="42"/>
      <c r="G376" s="43"/>
      <c r="H376" s="43"/>
    </row>
    <row r="377" spans="1:8" ht="15.75" thickBot="1" x14ac:dyDescent="0.3">
      <c r="A377" s="44" t="s">
        <v>2</v>
      </c>
      <c r="B377" s="47" t="s">
        <v>30</v>
      </c>
      <c r="C377" s="48"/>
      <c r="D377" s="48"/>
      <c r="E377" s="48"/>
      <c r="F377" s="48"/>
      <c r="G377" s="49" t="s">
        <v>3</v>
      </c>
      <c r="H377" s="50"/>
    </row>
    <row r="378" spans="1:8" ht="105.75" thickBot="1" x14ac:dyDescent="0.3">
      <c r="A378" s="45"/>
      <c r="B378" s="40" t="s">
        <v>30</v>
      </c>
      <c r="C378" s="51"/>
      <c r="D378" s="27" t="s">
        <v>32</v>
      </c>
      <c r="E378" s="51" t="s">
        <v>4</v>
      </c>
      <c r="F378" s="41"/>
      <c r="G378" s="52"/>
      <c r="H378" s="53"/>
    </row>
    <row r="379" spans="1:8" ht="150.75" thickBot="1" x14ac:dyDescent="0.3">
      <c r="A379" s="46"/>
      <c r="B379" s="33" t="s">
        <v>36</v>
      </c>
      <c r="C379" s="33" t="s">
        <v>5</v>
      </c>
      <c r="D379" s="33" t="s">
        <v>33</v>
      </c>
      <c r="E379" s="33" t="s">
        <v>34</v>
      </c>
      <c r="F379" s="33" t="s">
        <v>35</v>
      </c>
      <c r="G379" s="54"/>
      <c r="H379" s="55"/>
    </row>
    <row r="380" spans="1:8" ht="15.75" thickBot="1" x14ac:dyDescent="0.3">
      <c r="A380" s="26">
        <v>1</v>
      </c>
      <c r="B380" s="33">
        <v>2</v>
      </c>
      <c r="C380" s="10">
        <v>3</v>
      </c>
      <c r="D380" s="33">
        <v>4</v>
      </c>
      <c r="E380" s="10">
        <v>5</v>
      </c>
      <c r="F380" s="33">
        <v>6</v>
      </c>
      <c r="G380" s="40" t="s">
        <v>37</v>
      </c>
      <c r="H380" s="41"/>
    </row>
    <row r="381" spans="1:8" ht="60.75" thickBot="1" x14ac:dyDescent="0.3">
      <c r="A381" s="2" t="s">
        <v>7</v>
      </c>
      <c r="B381" s="6">
        <f>B382</f>
        <v>229126.32</v>
      </c>
      <c r="C381" s="11"/>
      <c r="D381" s="6">
        <f>D382</f>
        <v>72355.679999999993</v>
      </c>
      <c r="E381" s="7" t="s">
        <v>8</v>
      </c>
      <c r="F381" s="7" t="s">
        <v>8</v>
      </c>
      <c r="G381" s="34">
        <f>304409-1826-1101</f>
        <v>301482</v>
      </c>
      <c r="H381" s="35"/>
    </row>
    <row r="382" spans="1:8" ht="15.75" thickBot="1" x14ac:dyDescent="0.3">
      <c r="A382" s="3" t="s">
        <v>9</v>
      </c>
      <c r="B382" s="6">
        <f>G382*76%</f>
        <v>229126.32</v>
      </c>
      <c r="C382" s="11"/>
      <c r="D382" s="28">
        <f>G382-B382</f>
        <v>72355.679999999993</v>
      </c>
      <c r="E382" s="7" t="s">
        <v>8</v>
      </c>
      <c r="F382" s="7" t="s">
        <v>8</v>
      </c>
      <c r="G382" s="34">
        <f>G381-G383</f>
        <v>301482</v>
      </c>
      <c r="H382" s="35"/>
    </row>
    <row r="383" spans="1:8" ht="15.75" thickBot="1" x14ac:dyDescent="0.3">
      <c r="A383" s="2" t="s">
        <v>10</v>
      </c>
      <c r="B383" s="6">
        <v>0</v>
      </c>
      <c r="C383" s="11"/>
      <c r="D383" s="6">
        <v>0</v>
      </c>
      <c r="E383" s="7" t="s">
        <v>8</v>
      </c>
      <c r="F383" s="7" t="s">
        <v>8</v>
      </c>
      <c r="G383" s="60"/>
      <c r="H383" s="35"/>
    </row>
    <row r="384" spans="1:8" ht="60.75" thickBot="1" x14ac:dyDescent="0.3">
      <c r="A384" s="2" t="s">
        <v>11</v>
      </c>
      <c r="B384" s="6">
        <f>G384*76%</f>
        <v>69217.759999999995</v>
      </c>
      <c r="C384" s="11"/>
      <c r="D384" s="28">
        <f>G384-B384</f>
        <v>21858.240000000005</v>
      </c>
      <c r="E384" s="7" t="s">
        <v>8</v>
      </c>
      <c r="F384" s="7" t="s">
        <v>8</v>
      </c>
      <c r="G384" s="34">
        <f>91920-721-123</f>
        <v>91076</v>
      </c>
      <c r="H384" s="35"/>
    </row>
    <row r="385" spans="1:11" ht="30.75" thickBot="1" x14ac:dyDescent="0.3">
      <c r="A385" s="2" t="s">
        <v>12</v>
      </c>
      <c r="B385" s="6">
        <f>G385*76%</f>
        <v>2865.96</v>
      </c>
      <c r="C385" s="11"/>
      <c r="D385" s="28">
        <f>G385-B385</f>
        <v>905.04</v>
      </c>
      <c r="E385" s="7" t="s">
        <v>8</v>
      </c>
      <c r="F385" s="7" t="s">
        <v>8</v>
      </c>
      <c r="G385" s="34">
        <f>1826+1101+721+123</f>
        <v>3771</v>
      </c>
      <c r="H385" s="35"/>
    </row>
    <row r="386" spans="1:11" ht="15.75" thickBot="1" x14ac:dyDescent="0.3">
      <c r="A386" s="2" t="s">
        <v>13</v>
      </c>
      <c r="B386" s="6">
        <f>G386*56%</f>
        <v>0</v>
      </c>
      <c r="C386" s="6"/>
      <c r="D386" s="28">
        <f>G386-B386</f>
        <v>0</v>
      </c>
      <c r="E386" s="7" t="s">
        <v>8</v>
      </c>
      <c r="F386" s="7" t="s">
        <v>8</v>
      </c>
      <c r="G386" s="34">
        <v>0</v>
      </c>
      <c r="H386" s="35"/>
    </row>
    <row r="387" spans="1:11" ht="30.75" thickBot="1" x14ac:dyDescent="0.3">
      <c r="A387" s="2" t="s">
        <v>14</v>
      </c>
      <c r="B387" s="6">
        <f>G387*56%</f>
        <v>17440.640000000003</v>
      </c>
      <c r="C387" s="6"/>
      <c r="D387" s="28">
        <f>G387-B387</f>
        <v>13703.359999999997</v>
      </c>
      <c r="E387" s="7" t="s">
        <v>8</v>
      </c>
      <c r="F387" s="7" t="s">
        <v>8</v>
      </c>
      <c r="G387" s="34">
        <v>31144</v>
      </c>
      <c r="H387" s="35"/>
      <c r="J387" s="9"/>
      <c r="K387" s="9"/>
    </row>
    <row r="388" spans="1:11" ht="45.75" thickBot="1" x14ac:dyDescent="0.3">
      <c r="A388" s="2" t="s">
        <v>15</v>
      </c>
      <c r="B388" s="7" t="s">
        <v>8</v>
      </c>
      <c r="C388" s="7" t="s">
        <v>8</v>
      </c>
      <c r="D388" s="6"/>
      <c r="E388" s="7" t="s">
        <v>8</v>
      </c>
      <c r="F388" s="7" t="s">
        <v>8</v>
      </c>
      <c r="G388" s="34"/>
      <c r="H388" s="35"/>
    </row>
    <row r="389" spans="1:11" ht="15.75" thickBot="1" x14ac:dyDescent="0.3">
      <c r="A389" s="2" t="s">
        <v>16</v>
      </c>
      <c r="B389" s="7" t="s">
        <v>8</v>
      </c>
      <c r="C389" s="7" t="s">
        <v>8</v>
      </c>
      <c r="D389" s="11"/>
      <c r="E389" s="6">
        <f>G389</f>
        <v>55000</v>
      </c>
      <c r="F389" s="6"/>
      <c r="G389" s="34">
        <v>55000</v>
      </c>
      <c r="H389" s="35"/>
    </row>
    <row r="390" spans="1:11" ht="15.75" thickBot="1" x14ac:dyDescent="0.3">
      <c r="A390" s="3" t="s">
        <v>17</v>
      </c>
      <c r="B390" s="6">
        <f>G390*56%</f>
        <v>0</v>
      </c>
      <c r="C390" s="7"/>
      <c r="D390" s="6"/>
      <c r="E390" s="6">
        <f>G390-B390</f>
        <v>0</v>
      </c>
      <c r="F390" s="6"/>
      <c r="G390" s="34">
        <v>0</v>
      </c>
      <c r="H390" s="35"/>
    </row>
    <row r="391" spans="1:11" ht="15.75" thickBot="1" x14ac:dyDescent="0.3">
      <c r="A391" s="3" t="s">
        <v>18</v>
      </c>
      <c r="B391" s="6"/>
      <c r="C391" s="7"/>
      <c r="D391" s="7"/>
      <c r="E391" s="6"/>
      <c r="F391" s="6"/>
      <c r="G391" s="34"/>
      <c r="H391" s="35"/>
    </row>
    <row r="392" spans="1:11" ht="45.75" thickBot="1" x14ac:dyDescent="0.3">
      <c r="A392" s="2" t="s">
        <v>19</v>
      </c>
      <c r="B392" s="6"/>
      <c r="C392" s="7"/>
      <c r="D392" s="6"/>
      <c r="E392" s="6"/>
      <c r="F392" s="6"/>
      <c r="G392" s="38"/>
      <c r="H392" s="39"/>
    </row>
    <row r="393" spans="1:11" ht="45.75" thickBot="1" x14ac:dyDescent="0.3">
      <c r="A393" s="2" t="s">
        <v>20</v>
      </c>
      <c r="B393" s="6">
        <v>0</v>
      </c>
      <c r="C393" s="7"/>
      <c r="D393" s="6"/>
      <c r="E393" s="6">
        <f>G393-B393</f>
        <v>6868</v>
      </c>
      <c r="F393" s="6"/>
      <c r="G393" s="34">
        <v>6868</v>
      </c>
      <c r="H393" s="35"/>
      <c r="J393" s="9"/>
    </row>
    <row r="394" spans="1:11" ht="30.75" thickBot="1" x14ac:dyDescent="0.3">
      <c r="A394" s="2" t="s">
        <v>21</v>
      </c>
      <c r="B394" s="6">
        <f>G394*56%</f>
        <v>12482.960000000001</v>
      </c>
      <c r="C394" s="6"/>
      <c r="D394" s="28">
        <f>G394-B394</f>
        <v>9808.0399999999991</v>
      </c>
      <c r="E394" s="7" t="s">
        <v>8</v>
      </c>
      <c r="F394" s="7" t="s">
        <v>8</v>
      </c>
      <c r="G394" s="34">
        <f>77291-G389</f>
        <v>22291</v>
      </c>
      <c r="H394" s="35"/>
    </row>
    <row r="395" spans="1:11" ht="15.75" thickBot="1" x14ac:dyDescent="0.3">
      <c r="A395" s="3" t="s">
        <v>22</v>
      </c>
      <c r="B395" s="6">
        <f>G395*56%</f>
        <v>1468.3200000000002</v>
      </c>
      <c r="C395" s="6"/>
      <c r="D395" s="28">
        <f>G395-B395</f>
        <v>1153.6799999999998</v>
      </c>
      <c r="E395" s="7" t="s">
        <v>8</v>
      </c>
      <c r="F395" s="7" t="s">
        <v>8</v>
      </c>
      <c r="G395" s="93">
        <f>1846+776</f>
        <v>2622</v>
      </c>
      <c r="H395" s="35"/>
    </row>
    <row r="396" spans="1:11" ht="15.75" thickBot="1" x14ac:dyDescent="0.3">
      <c r="A396" s="3" t="s">
        <v>23</v>
      </c>
      <c r="B396" s="7" t="s">
        <v>8</v>
      </c>
      <c r="C396" s="11"/>
      <c r="D396" s="7" t="s">
        <v>8</v>
      </c>
      <c r="E396" s="7" t="s">
        <v>8</v>
      </c>
      <c r="F396" s="7" t="s">
        <v>8</v>
      </c>
      <c r="G396" s="38"/>
      <c r="H396" s="39"/>
    </row>
    <row r="397" spans="1:11" ht="15.75" thickBot="1" x14ac:dyDescent="0.3">
      <c r="A397" s="3" t="s">
        <v>24</v>
      </c>
      <c r="B397" s="6">
        <f>G397*56%</f>
        <v>0</v>
      </c>
      <c r="C397" s="6"/>
      <c r="D397" s="6"/>
      <c r="E397" s="7" t="s">
        <v>8</v>
      </c>
      <c r="F397" s="7" t="s">
        <v>8</v>
      </c>
      <c r="G397" s="34"/>
      <c r="H397" s="35"/>
      <c r="J397" s="9"/>
    </row>
    <row r="398" spans="1:11" ht="15.75" thickBot="1" x14ac:dyDescent="0.3">
      <c r="A398" s="4" t="s">
        <v>25</v>
      </c>
      <c r="B398" s="6">
        <f>SUM(B382:B397)</f>
        <v>332601.96000000008</v>
      </c>
      <c r="C398" s="6"/>
      <c r="D398" s="6">
        <f>SUM(D382:D397)</f>
        <v>119784.03999999998</v>
      </c>
      <c r="E398" s="6">
        <f>SUM(E382:E397)</f>
        <v>61868</v>
      </c>
      <c r="F398" s="6"/>
      <c r="G398" s="34">
        <f>SUM(G382:H397)</f>
        <v>514254</v>
      </c>
      <c r="H398" s="35"/>
      <c r="J398" s="9"/>
    </row>
    <row r="399" spans="1:11" x14ac:dyDescent="0.25">
      <c r="A399" s="36" t="s">
        <v>26</v>
      </c>
      <c r="B399" s="36"/>
      <c r="C399" s="36"/>
      <c r="D399" s="36"/>
      <c r="E399" s="36"/>
      <c r="F399" s="36"/>
      <c r="G399" s="36"/>
      <c r="H399" s="36"/>
    </row>
    <row r="400" spans="1:11" x14ac:dyDescent="0.25">
      <c r="A400" s="37" t="s">
        <v>27</v>
      </c>
      <c r="B400" s="37"/>
      <c r="C400" s="37"/>
      <c r="D400" s="37"/>
      <c r="E400" s="37"/>
      <c r="F400" s="37"/>
      <c r="G400" s="37"/>
      <c r="H400" s="37"/>
    </row>
    <row r="401" spans="1:8" x14ac:dyDescent="0.25">
      <c r="A401" s="37" t="s">
        <v>28</v>
      </c>
      <c r="B401" s="37"/>
      <c r="C401" s="37"/>
      <c r="D401" s="37"/>
      <c r="E401" s="37"/>
      <c r="F401" s="37"/>
      <c r="G401" s="37"/>
      <c r="H401" s="37"/>
    </row>
    <row r="402" spans="1:8" x14ac:dyDescent="0.25">
      <c r="A402" s="1"/>
      <c r="B402" s="8"/>
      <c r="C402" s="8"/>
      <c r="D402" s="8"/>
      <c r="E402" s="8"/>
      <c r="F402" s="8"/>
      <c r="G402" s="8"/>
      <c r="H402" s="8"/>
    </row>
    <row r="403" spans="1:8" ht="15.75" x14ac:dyDescent="0.25">
      <c r="A403" s="5"/>
    </row>
    <row r="404" spans="1:8" x14ac:dyDescent="0.25">
      <c r="B404" s="12" t="s">
        <v>110</v>
      </c>
      <c r="C404" s="12">
        <v>361432</v>
      </c>
    </row>
    <row r="405" spans="1:8" x14ac:dyDescent="0.25">
      <c r="C405" s="9">
        <f>C404-B398</f>
        <v>28830.039999999921</v>
      </c>
      <c r="D405"/>
      <c r="E405"/>
      <c r="F405"/>
      <c r="G405"/>
      <c r="H405"/>
    </row>
    <row r="406" spans="1:8" x14ac:dyDescent="0.25">
      <c r="D406"/>
      <c r="E406"/>
      <c r="F406"/>
      <c r="G406"/>
      <c r="H406"/>
    </row>
    <row r="407" spans="1:8" x14ac:dyDescent="0.25">
      <c r="D407"/>
      <c r="E407"/>
      <c r="F407"/>
      <c r="G407"/>
      <c r="H407"/>
    </row>
    <row r="408" spans="1:8" x14ac:dyDescent="0.25">
      <c r="D408"/>
      <c r="E408"/>
      <c r="F408"/>
      <c r="G408"/>
      <c r="H408"/>
    </row>
    <row r="409" spans="1:8" x14ac:dyDescent="0.25">
      <c r="D409"/>
      <c r="E409"/>
      <c r="F409"/>
      <c r="G409"/>
      <c r="H409"/>
    </row>
    <row r="410" spans="1:8" x14ac:dyDescent="0.25">
      <c r="D410"/>
      <c r="E410"/>
      <c r="F410"/>
      <c r="G410"/>
      <c r="H410"/>
    </row>
    <row r="411" spans="1:8" x14ac:dyDescent="0.25">
      <c r="A411" s="29"/>
      <c r="B411" s="30"/>
      <c r="C411" s="30"/>
      <c r="D411" s="30"/>
      <c r="E411" s="56" t="s">
        <v>29</v>
      </c>
      <c r="F411" s="56"/>
      <c r="G411" s="56"/>
      <c r="H411" s="56"/>
    </row>
    <row r="412" spans="1:8" x14ac:dyDescent="0.25">
      <c r="A412" s="57"/>
      <c r="B412" s="58"/>
      <c r="C412" s="58"/>
      <c r="D412" s="59"/>
      <c r="E412" s="59" t="s">
        <v>0</v>
      </c>
      <c r="F412" s="59"/>
      <c r="G412" s="59"/>
      <c r="H412" s="59"/>
    </row>
    <row r="413" spans="1:8" x14ac:dyDescent="0.25">
      <c r="A413" s="57"/>
      <c r="B413" s="58"/>
      <c r="C413" s="58"/>
      <c r="D413" s="59"/>
      <c r="E413" s="66" t="s">
        <v>1</v>
      </c>
      <c r="F413" s="59"/>
      <c r="G413" s="59"/>
      <c r="H413" s="59"/>
    </row>
    <row r="414" spans="1:8" ht="15.75" thickBot="1" x14ac:dyDescent="0.3">
      <c r="A414" s="42" t="s">
        <v>111</v>
      </c>
      <c r="B414" s="42"/>
      <c r="C414" s="42"/>
      <c r="D414" s="42"/>
      <c r="E414" s="42"/>
      <c r="F414" s="42"/>
      <c r="G414" s="43"/>
      <c r="H414" s="43"/>
    </row>
    <row r="415" spans="1:8" ht="15.75" hidden="1" thickBot="1" x14ac:dyDescent="0.3">
      <c r="A415" s="65"/>
      <c r="B415" s="65"/>
      <c r="C415" s="65"/>
      <c r="D415" s="65"/>
      <c r="E415" s="65"/>
      <c r="F415" s="65"/>
      <c r="G415" s="65"/>
      <c r="H415" s="65"/>
    </row>
    <row r="416" spans="1:8" ht="15.75" hidden="1" thickBot="1" x14ac:dyDescent="0.3">
      <c r="A416" s="65"/>
      <c r="B416" s="65"/>
      <c r="C416" s="65"/>
      <c r="D416" s="65"/>
      <c r="E416" s="65"/>
      <c r="F416" s="65"/>
      <c r="G416" s="65"/>
      <c r="H416" s="65"/>
    </row>
    <row r="417" spans="1:11" ht="58.15" hidden="1" customHeight="1" x14ac:dyDescent="0.25">
      <c r="A417" s="65"/>
      <c r="B417" s="65"/>
      <c r="C417" s="65"/>
      <c r="D417" s="65"/>
      <c r="E417" s="65"/>
      <c r="F417" s="65"/>
      <c r="G417" s="65"/>
      <c r="H417" s="65"/>
    </row>
    <row r="418" spans="1:11" ht="15.75" hidden="1" thickBot="1" x14ac:dyDescent="0.3">
      <c r="A418" s="42" t="s">
        <v>64</v>
      </c>
      <c r="B418" s="42"/>
      <c r="C418" s="42"/>
      <c r="D418" s="42"/>
      <c r="E418" s="42"/>
      <c r="F418" s="42"/>
      <c r="G418" s="43"/>
      <c r="H418" s="43"/>
    </row>
    <row r="419" spans="1:11" ht="15.75" thickBot="1" x14ac:dyDescent="0.3">
      <c r="A419" s="44" t="s">
        <v>2</v>
      </c>
      <c r="B419" s="47" t="s">
        <v>30</v>
      </c>
      <c r="C419" s="48"/>
      <c r="D419" s="48"/>
      <c r="E419" s="48"/>
      <c r="F419" s="48"/>
      <c r="G419" s="49" t="s">
        <v>3</v>
      </c>
      <c r="H419" s="50"/>
    </row>
    <row r="420" spans="1:11" ht="105.75" thickBot="1" x14ac:dyDescent="0.3">
      <c r="A420" s="45"/>
      <c r="B420" s="40" t="s">
        <v>61</v>
      </c>
      <c r="C420" s="51"/>
      <c r="D420" s="27" t="s">
        <v>32</v>
      </c>
      <c r="E420" s="51" t="s">
        <v>4</v>
      </c>
      <c r="F420" s="41"/>
      <c r="G420" s="52"/>
      <c r="H420" s="53"/>
    </row>
    <row r="421" spans="1:11" ht="150.75" thickBot="1" x14ac:dyDescent="0.3">
      <c r="A421" s="46"/>
      <c r="B421" s="33" t="s">
        <v>36</v>
      </c>
      <c r="C421" s="33" t="s">
        <v>5</v>
      </c>
      <c r="D421" s="33" t="s">
        <v>33</v>
      </c>
      <c r="E421" s="33" t="s">
        <v>34</v>
      </c>
      <c r="F421" s="33" t="s">
        <v>35</v>
      </c>
      <c r="G421" s="54"/>
      <c r="H421" s="55"/>
    </row>
    <row r="422" spans="1:11" ht="15.75" thickBot="1" x14ac:dyDescent="0.3">
      <c r="A422" s="26">
        <v>1</v>
      </c>
      <c r="B422" s="33">
        <v>2</v>
      </c>
      <c r="C422" s="10">
        <v>3</v>
      </c>
      <c r="D422" s="33">
        <v>4</v>
      </c>
      <c r="E422" s="10">
        <v>5</v>
      </c>
      <c r="F422" s="33">
        <v>6</v>
      </c>
      <c r="G422" s="40" t="s">
        <v>37</v>
      </c>
      <c r="H422" s="41"/>
    </row>
    <row r="423" spans="1:11" ht="60.75" thickBot="1" x14ac:dyDescent="0.3">
      <c r="A423" s="2" t="s">
        <v>7</v>
      </c>
      <c r="B423" s="6">
        <f>B424</f>
        <v>256010.56</v>
      </c>
      <c r="C423" s="20" t="s">
        <v>8</v>
      </c>
      <c r="D423" s="6">
        <f>D424</f>
        <v>80845.440000000002</v>
      </c>
      <c r="E423" s="7" t="s">
        <v>8</v>
      </c>
      <c r="F423" s="7" t="s">
        <v>8</v>
      </c>
      <c r="G423" s="34">
        <f>345112-7155-1101</f>
        <v>336856</v>
      </c>
      <c r="H423" s="35"/>
    </row>
    <row r="424" spans="1:11" ht="15.75" thickBot="1" x14ac:dyDescent="0.3">
      <c r="A424" s="3" t="s">
        <v>9</v>
      </c>
      <c r="B424" s="6">
        <f>G424*76%</f>
        <v>256010.56</v>
      </c>
      <c r="C424" s="20" t="s">
        <v>8</v>
      </c>
      <c r="D424" s="28">
        <f>G424-B424</f>
        <v>80845.440000000002</v>
      </c>
      <c r="E424" s="7" t="s">
        <v>8</v>
      </c>
      <c r="F424" s="7" t="s">
        <v>8</v>
      </c>
      <c r="G424" s="34">
        <f>G423-G425</f>
        <v>336856</v>
      </c>
      <c r="H424" s="35"/>
    </row>
    <row r="425" spans="1:11" ht="15.75" thickBot="1" x14ac:dyDescent="0.3">
      <c r="A425" s="2" t="s">
        <v>10</v>
      </c>
      <c r="B425" s="6">
        <v>0</v>
      </c>
      <c r="C425" s="20" t="s">
        <v>8</v>
      </c>
      <c r="D425" s="6">
        <v>0</v>
      </c>
      <c r="E425" s="7" t="s">
        <v>8</v>
      </c>
      <c r="F425" s="7" t="s">
        <v>8</v>
      </c>
      <c r="G425" s="60"/>
      <c r="H425" s="35"/>
    </row>
    <row r="426" spans="1:11" ht="60.75" thickBot="1" x14ac:dyDescent="0.3">
      <c r="A426" s="2" t="s">
        <v>11</v>
      </c>
      <c r="B426" s="6">
        <f>G426*76%</f>
        <v>75890.559999999998</v>
      </c>
      <c r="C426" s="20" t="s">
        <v>8</v>
      </c>
      <c r="D426" s="28">
        <f>G426-B426</f>
        <v>23965.440000000002</v>
      </c>
      <c r="E426" s="7" t="s">
        <v>8</v>
      </c>
      <c r="F426" s="7" t="s">
        <v>8</v>
      </c>
      <c r="G426" s="34">
        <f>101935-1956-123</f>
        <v>99856</v>
      </c>
      <c r="H426" s="35"/>
    </row>
    <row r="427" spans="1:11" ht="30.75" thickBot="1" x14ac:dyDescent="0.3">
      <c r="A427" s="2" t="s">
        <v>12</v>
      </c>
      <c r="B427" s="6">
        <f>G427*76%</f>
        <v>7854.6</v>
      </c>
      <c r="C427" s="20" t="s">
        <v>8</v>
      </c>
      <c r="D427" s="28">
        <f>G427-B427</f>
        <v>2480.3999999999996</v>
      </c>
      <c r="E427" s="7" t="s">
        <v>8</v>
      </c>
      <c r="F427" s="7" t="s">
        <v>8</v>
      </c>
      <c r="G427" s="34">
        <f>7155+1101+1956+123</f>
        <v>10335</v>
      </c>
      <c r="H427" s="35"/>
    </row>
    <row r="428" spans="1:11" ht="15.75" thickBot="1" x14ac:dyDescent="0.3">
      <c r="A428" s="2" t="s">
        <v>13</v>
      </c>
      <c r="B428" s="6">
        <f>G428*58%</f>
        <v>0</v>
      </c>
      <c r="C428" s="20" t="s">
        <v>8</v>
      </c>
      <c r="D428" s="28">
        <f>G428-B428</f>
        <v>0</v>
      </c>
      <c r="E428" s="7" t="s">
        <v>8</v>
      </c>
      <c r="F428" s="7" t="s">
        <v>8</v>
      </c>
      <c r="G428" s="34">
        <v>0</v>
      </c>
      <c r="H428" s="35"/>
    </row>
    <row r="429" spans="1:11" ht="30.75" thickBot="1" x14ac:dyDescent="0.3">
      <c r="A429" s="2" t="s">
        <v>14</v>
      </c>
      <c r="B429" s="6">
        <f>G429*58%</f>
        <v>18916.12</v>
      </c>
      <c r="C429" s="20" t="s">
        <v>8</v>
      </c>
      <c r="D429" s="28">
        <f>G429-B429</f>
        <v>13697.880000000001</v>
      </c>
      <c r="E429" s="7" t="s">
        <v>8</v>
      </c>
      <c r="F429" s="7" t="s">
        <v>8</v>
      </c>
      <c r="G429" s="34">
        <v>32614</v>
      </c>
      <c r="H429" s="35"/>
      <c r="J429" s="9"/>
      <c r="K429" s="9"/>
    </row>
    <row r="430" spans="1:11" ht="45.75" thickBot="1" x14ac:dyDescent="0.3">
      <c r="A430" s="2" t="s">
        <v>15</v>
      </c>
      <c r="B430" s="7" t="s">
        <v>8</v>
      </c>
      <c r="C430" s="7" t="s">
        <v>8</v>
      </c>
      <c r="D430" s="6"/>
      <c r="E430" s="7" t="s">
        <v>8</v>
      </c>
      <c r="F430" s="7" t="s">
        <v>8</v>
      </c>
      <c r="G430" s="34"/>
      <c r="H430" s="35"/>
    </row>
    <row r="431" spans="1:11" ht="15.75" thickBot="1" x14ac:dyDescent="0.3">
      <c r="A431" s="2" t="s">
        <v>16</v>
      </c>
      <c r="B431" s="7" t="s">
        <v>8</v>
      </c>
      <c r="C431" s="7" t="s">
        <v>8</v>
      </c>
      <c r="D431" s="7" t="s">
        <v>8</v>
      </c>
      <c r="E431" s="6">
        <f>G431</f>
        <v>65000</v>
      </c>
      <c r="F431" s="6"/>
      <c r="G431" s="34">
        <v>65000</v>
      </c>
      <c r="H431" s="35"/>
    </row>
    <row r="432" spans="1:11" ht="15.75" thickBot="1" x14ac:dyDescent="0.3">
      <c r="A432" s="3" t="s">
        <v>17</v>
      </c>
      <c r="B432" s="7" t="s">
        <v>8</v>
      </c>
      <c r="C432" s="7" t="s">
        <v>8</v>
      </c>
      <c r="D432" s="7" t="s">
        <v>8</v>
      </c>
      <c r="E432" s="6">
        <f>G432</f>
        <v>0</v>
      </c>
      <c r="F432" s="6"/>
      <c r="G432" s="34">
        <v>0</v>
      </c>
      <c r="H432" s="35"/>
    </row>
    <row r="433" spans="1:10" ht="15.75" thickBot="1" x14ac:dyDescent="0.3">
      <c r="A433" s="3" t="s">
        <v>18</v>
      </c>
      <c r="B433" s="7" t="s">
        <v>8</v>
      </c>
      <c r="C433" s="7" t="s">
        <v>8</v>
      </c>
      <c r="D433" s="7" t="s">
        <v>8</v>
      </c>
      <c r="E433" s="6"/>
      <c r="F433" s="6"/>
      <c r="G433" s="34"/>
      <c r="H433" s="35"/>
    </row>
    <row r="434" spans="1:10" ht="45.75" thickBot="1" x14ac:dyDescent="0.3">
      <c r="A434" s="2" t="s">
        <v>19</v>
      </c>
      <c r="B434" s="7" t="s">
        <v>8</v>
      </c>
      <c r="C434" s="7" t="s">
        <v>8</v>
      </c>
      <c r="D434" s="7" t="s">
        <v>8</v>
      </c>
      <c r="E434" s="6"/>
      <c r="F434" s="6"/>
      <c r="G434" s="38"/>
      <c r="H434" s="39"/>
    </row>
    <row r="435" spans="1:10" ht="45.75" thickBot="1" x14ac:dyDescent="0.3">
      <c r="A435" s="2" t="s">
        <v>20</v>
      </c>
      <c r="B435" s="7" t="s">
        <v>8</v>
      </c>
      <c r="C435" s="7" t="s">
        <v>8</v>
      </c>
      <c r="D435" s="7" t="s">
        <v>8</v>
      </c>
      <c r="E435" s="6">
        <f>G435</f>
        <v>7410</v>
      </c>
      <c r="F435" s="6"/>
      <c r="G435" s="34">
        <v>7410</v>
      </c>
      <c r="H435" s="35"/>
      <c r="J435" s="9"/>
    </row>
    <row r="436" spans="1:10" ht="30.75" thickBot="1" x14ac:dyDescent="0.3">
      <c r="A436" s="2" t="s">
        <v>21</v>
      </c>
      <c r="B436" s="6">
        <f>G436*58%</f>
        <v>23780</v>
      </c>
      <c r="C436" s="7" t="s">
        <v>8</v>
      </c>
      <c r="D436" s="28">
        <f>G436-B436</f>
        <v>17220</v>
      </c>
      <c r="E436" s="7" t="s">
        <v>8</v>
      </c>
      <c r="F436" s="7" t="s">
        <v>8</v>
      </c>
      <c r="G436" s="34">
        <f>106000-G431</f>
        <v>41000</v>
      </c>
      <c r="H436" s="35"/>
    </row>
    <row r="437" spans="1:10" ht="15.75" thickBot="1" x14ac:dyDescent="0.3">
      <c r="A437" s="3" t="s">
        <v>22</v>
      </c>
      <c r="B437" s="6">
        <f>G437*58%</f>
        <v>1558.4599999999998</v>
      </c>
      <c r="C437" s="7" t="s">
        <v>8</v>
      </c>
      <c r="D437" s="28">
        <f>G437-B437</f>
        <v>1128.5400000000002</v>
      </c>
      <c r="E437" s="7" t="s">
        <v>8</v>
      </c>
      <c r="F437" s="7" t="s">
        <v>8</v>
      </c>
      <c r="G437" s="34">
        <f>1846+841</f>
        <v>2687</v>
      </c>
      <c r="H437" s="35"/>
    </row>
    <row r="438" spans="1:10" ht="15.75" thickBot="1" x14ac:dyDescent="0.3">
      <c r="A438" s="3" t="s">
        <v>23</v>
      </c>
      <c r="B438" s="7" t="s">
        <v>8</v>
      </c>
      <c r="C438" s="7"/>
      <c r="D438" s="7" t="s">
        <v>8</v>
      </c>
      <c r="E438" s="7" t="s">
        <v>8</v>
      </c>
      <c r="F438" s="7" t="s">
        <v>8</v>
      </c>
      <c r="G438" s="38"/>
      <c r="H438" s="39"/>
    </row>
    <row r="439" spans="1:10" ht="15.75" thickBot="1" x14ac:dyDescent="0.3">
      <c r="A439" s="3" t="s">
        <v>24</v>
      </c>
      <c r="B439" s="6">
        <f>G439*58%</f>
        <v>0</v>
      </c>
      <c r="C439" s="7" t="s">
        <v>8</v>
      </c>
      <c r="D439" s="6"/>
      <c r="E439" s="7" t="s">
        <v>8</v>
      </c>
      <c r="F439" s="7" t="s">
        <v>8</v>
      </c>
      <c r="G439" s="34"/>
      <c r="H439" s="35"/>
      <c r="J439" s="9"/>
    </row>
    <row r="440" spans="1:10" ht="15.75" thickBot="1" x14ac:dyDescent="0.3">
      <c r="A440" s="4" t="s">
        <v>25</v>
      </c>
      <c r="B440" s="6">
        <f>SUM(B424:B439)</f>
        <v>384010.3</v>
      </c>
      <c r="C440" s="6"/>
      <c r="D440" s="6">
        <f>SUM(D424:D439)</f>
        <v>139337.70000000001</v>
      </c>
      <c r="E440" s="6">
        <f>SUM(E424:E439)</f>
        <v>72410</v>
      </c>
      <c r="F440" s="6"/>
      <c r="G440" s="34">
        <f>SUM(G424:H439)</f>
        <v>595758</v>
      </c>
      <c r="H440" s="35"/>
      <c r="J440" s="9"/>
    </row>
    <row r="441" spans="1:10" x14ac:dyDescent="0.25">
      <c r="A441" s="61" t="s">
        <v>62</v>
      </c>
      <c r="B441" s="62"/>
      <c r="C441" s="62"/>
      <c r="D441" s="62"/>
      <c r="E441" s="62"/>
      <c r="F441" s="62"/>
      <c r="G441" s="62"/>
      <c r="H441" s="62"/>
      <c r="J441" s="9"/>
    </row>
    <row r="442" spans="1:10" x14ac:dyDescent="0.25">
      <c r="A442" s="63"/>
      <c r="B442" s="63"/>
      <c r="C442" s="63"/>
      <c r="D442" s="63"/>
      <c r="E442" s="63"/>
      <c r="F442" s="63"/>
      <c r="G442" s="63"/>
      <c r="H442" s="63"/>
      <c r="J442" s="9"/>
    </row>
    <row r="443" spans="1:10" x14ac:dyDescent="0.25">
      <c r="A443" s="63"/>
      <c r="B443" s="63"/>
      <c r="C443" s="63"/>
      <c r="D443" s="63"/>
      <c r="E443" s="63"/>
      <c r="F443" s="63"/>
      <c r="G443" s="63"/>
      <c r="H443" s="63"/>
      <c r="J443" s="9"/>
    </row>
    <row r="444" spans="1:10" x14ac:dyDescent="0.25">
      <c r="A444" s="64"/>
      <c r="B444" s="64"/>
      <c r="C444" s="64"/>
      <c r="D444" s="64"/>
      <c r="E444" s="64"/>
      <c r="F444" s="64"/>
      <c r="G444" s="64"/>
      <c r="H444" s="64"/>
      <c r="J444" s="9"/>
    </row>
    <row r="445" spans="1:10" x14ac:dyDescent="0.25">
      <c r="A445" s="19"/>
      <c r="B445" s="18" t="s">
        <v>112</v>
      </c>
      <c r="C445" s="25">
        <v>398422</v>
      </c>
      <c r="D445" s="18"/>
      <c r="E445" s="18"/>
      <c r="F445" s="18"/>
      <c r="G445" s="18"/>
      <c r="H445" s="18"/>
    </row>
    <row r="446" spans="1:10" x14ac:dyDescent="0.25">
      <c r="C446" s="9">
        <f>C445-B440</f>
        <v>14411.700000000012</v>
      </c>
      <c r="D446"/>
      <c r="E446"/>
      <c r="F446"/>
      <c r="G446"/>
      <c r="H446"/>
    </row>
    <row r="447" spans="1:10" x14ac:dyDescent="0.25">
      <c r="D447"/>
      <c r="E447"/>
      <c r="F447"/>
      <c r="G447"/>
      <c r="H447"/>
    </row>
    <row r="448" spans="1:10" x14ac:dyDescent="0.25">
      <c r="D448"/>
      <c r="E448"/>
      <c r="F448"/>
      <c r="G448"/>
      <c r="H448"/>
    </row>
    <row r="449" spans="1:8" s="23" customFormat="1" x14ac:dyDescent="0.25">
      <c r="B449" s="24"/>
      <c r="C449" s="24"/>
    </row>
    <row r="450" spans="1:8" s="23" customFormat="1" x14ac:dyDescent="0.25">
      <c r="B450" s="24"/>
      <c r="C450" s="24"/>
      <c r="D450" s="24"/>
      <c r="E450" s="24"/>
      <c r="F450" s="24"/>
      <c r="G450" s="24"/>
      <c r="H450" s="24"/>
    </row>
    <row r="451" spans="1:8" s="23" customFormat="1" x14ac:dyDescent="0.25">
      <c r="B451" s="24"/>
      <c r="C451" s="24"/>
      <c r="D451" s="24"/>
      <c r="E451" s="24"/>
      <c r="F451" s="24"/>
      <c r="G451" s="24"/>
      <c r="H451" s="24"/>
    </row>
    <row r="454" spans="1:8" x14ac:dyDescent="0.25">
      <c r="A454" s="29"/>
      <c r="B454" s="30"/>
      <c r="C454" s="30"/>
      <c r="D454" s="30"/>
      <c r="E454" s="56" t="s">
        <v>29</v>
      </c>
      <c r="F454" s="56"/>
      <c r="G454" s="56"/>
      <c r="H454" s="56"/>
    </row>
    <row r="455" spans="1:8" x14ac:dyDescent="0.25">
      <c r="A455" s="57"/>
      <c r="B455" s="58"/>
      <c r="C455" s="58"/>
      <c r="D455" s="59"/>
      <c r="E455" s="59" t="s">
        <v>0</v>
      </c>
      <c r="F455" s="59"/>
      <c r="G455" s="59"/>
      <c r="H455" s="59"/>
    </row>
    <row r="456" spans="1:8" x14ac:dyDescent="0.25">
      <c r="A456" s="57"/>
      <c r="B456" s="58"/>
      <c r="C456" s="58"/>
      <c r="D456" s="59"/>
      <c r="E456" s="59" t="s">
        <v>1</v>
      </c>
      <c r="F456" s="59"/>
      <c r="G456" s="59"/>
      <c r="H456" s="59"/>
    </row>
    <row r="457" spans="1:8" ht="15.75" thickBot="1" x14ac:dyDescent="0.3">
      <c r="A457" s="42" t="s">
        <v>39</v>
      </c>
      <c r="B457" s="42"/>
      <c r="C457" s="42"/>
      <c r="D457" s="42"/>
      <c r="E457" s="42"/>
      <c r="F457" s="42"/>
      <c r="G457" s="43"/>
      <c r="H457" s="43"/>
    </row>
    <row r="458" spans="1:8" ht="15.75" thickBot="1" x14ac:dyDescent="0.3">
      <c r="A458" s="44" t="s">
        <v>2</v>
      </c>
      <c r="B458" s="47" t="s">
        <v>30</v>
      </c>
      <c r="C458" s="48"/>
      <c r="D458" s="48"/>
      <c r="E458" s="48"/>
      <c r="F458" s="48"/>
      <c r="G458" s="49" t="s">
        <v>3</v>
      </c>
      <c r="H458" s="50"/>
    </row>
    <row r="459" spans="1:8" ht="105.75" thickBot="1" x14ac:dyDescent="0.3">
      <c r="A459" s="45"/>
      <c r="B459" s="40" t="s">
        <v>30</v>
      </c>
      <c r="C459" s="51"/>
      <c r="D459" s="27" t="s">
        <v>32</v>
      </c>
      <c r="E459" s="51" t="s">
        <v>4</v>
      </c>
      <c r="F459" s="41"/>
      <c r="G459" s="52"/>
      <c r="H459" s="53"/>
    </row>
    <row r="460" spans="1:8" ht="150.75" thickBot="1" x14ac:dyDescent="0.3">
      <c r="A460" s="46"/>
      <c r="B460" s="33" t="s">
        <v>36</v>
      </c>
      <c r="C460" s="33" t="s">
        <v>5</v>
      </c>
      <c r="D460" s="33" t="s">
        <v>33</v>
      </c>
      <c r="E460" s="33" t="s">
        <v>34</v>
      </c>
      <c r="F460" s="33" t="s">
        <v>35</v>
      </c>
      <c r="G460" s="54"/>
      <c r="H460" s="55"/>
    </row>
    <row r="461" spans="1:8" ht="15.75" thickBot="1" x14ac:dyDescent="0.3">
      <c r="A461" s="26">
        <v>1</v>
      </c>
      <c r="B461" s="33">
        <v>2</v>
      </c>
      <c r="C461" s="10">
        <v>3</v>
      </c>
      <c r="D461" s="33">
        <v>4</v>
      </c>
      <c r="E461" s="10">
        <v>5</v>
      </c>
      <c r="F461" s="33">
        <v>6</v>
      </c>
      <c r="G461" s="40" t="s">
        <v>37</v>
      </c>
      <c r="H461" s="41"/>
    </row>
    <row r="462" spans="1:8" ht="60.75" thickBot="1" x14ac:dyDescent="0.3">
      <c r="A462" s="2" t="s">
        <v>7</v>
      </c>
      <c r="B462" s="6">
        <f>B463</f>
        <v>70345.600000000006</v>
      </c>
      <c r="C462" s="11"/>
      <c r="D462" s="6">
        <f>D463</f>
        <v>22214.399999999994</v>
      </c>
      <c r="E462" s="7" t="s">
        <v>8</v>
      </c>
      <c r="F462" s="7" t="s">
        <v>8</v>
      </c>
      <c r="G462" s="34">
        <f>97111-1349-3202</f>
        <v>92560</v>
      </c>
      <c r="H462" s="35"/>
    </row>
    <row r="463" spans="1:8" ht="15.75" thickBot="1" x14ac:dyDescent="0.3">
      <c r="A463" s="3" t="s">
        <v>9</v>
      </c>
      <c r="B463" s="6">
        <f>G463*76%</f>
        <v>70345.600000000006</v>
      </c>
      <c r="C463" s="11"/>
      <c r="D463" s="28">
        <f>G463-B463</f>
        <v>22214.399999999994</v>
      </c>
      <c r="E463" s="7" t="s">
        <v>8</v>
      </c>
      <c r="F463" s="7" t="s">
        <v>8</v>
      </c>
      <c r="G463" s="34">
        <f>G462-G464</f>
        <v>92560</v>
      </c>
      <c r="H463" s="35"/>
    </row>
    <row r="464" spans="1:8" ht="15.75" thickBot="1" x14ac:dyDescent="0.3">
      <c r="A464" s="2" t="s">
        <v>10</v>
      </c>
      <c r="B464" s="6">
        <v>0</v>
      </c>
      <c r="C464" s="11"/>
      <c r="D464" s="6">
        <v>0</v>
      </c>
      <c r="E464" s="7" t="s">
        <v>8</v>
      </c>
      <c r="F464" s="7" t="s">
        <v>8</v>
      </c>
      <c r="G464" s="34"/>
      <c r="H464" s="35"/>
    </row>
    <row r="465" spans="1:9" ht="60.75" thickBot="1" x14ac:dyDescent="0.3">
      <c r="A465" s="2" t="s">
        <v>11</v>
      </c>
      <c r="B465" s="6">
        <f>G465*76%</f>
        <v>18730.96</v>
      </c>
      <c r="C465" s="11"/>
      <c r="D465" s="28">
        <f>G465-B465</f>
        <v>5915.0400000000009</v>
      </c>
      <c r="E465" s="7" t="s">
        <v>8</v>
      </c>
      <c r="F465" s="7" t="s">
        <v>8</v>
      </c>
      <c r="G465" s="34">
        <f>24929-283</f>
        <v>24646</v>
      </c>
      <c r="H465" s="35"/>
    </row>
    <row r="466" spans="1:9" ht="30.75" thickBot="1" x14ac:dyDescent="0.3">
      <c r="A466" s="2" t="s">
        <v>12</v>
      </c>
      <c r="B466" s="6">
        <f>G466*76%</f>
        <v>3673.84</v>
      </c>
      <c r="C466" s="11"/>
      <c r="D466" s="28">
        <f>G466-B466</f>
        <v>1160.1599999999999</v>
      </c>
      <c r="E466" s="7" t="s">
        <v>8</v>
      </c>
      <c r="F466" s="7" t="s">
        <v>8</v>
      </c>
      <c r="G466" s="34">
        <f>283+1349+3202</f>
        <v>4834</v>
      </c>
      <c r="H466" s="35"/>
      <c r="I466" s="9"/>
    </row>
    <row r="467" spans="1:9" ht="15.75" thickBot="1" x14ac:dyDescent="0.3">
      <c r="A467" s="2" t="s">
        <v>13</v>
      </c>
      <c r="B467" s="6">
        <f>G467*56%</f>
        <v>0</v>
      </c>
      <c r="C467" s="6"/>
      <c r="D467" s="28">
        <f>G467-B467</f>
        <v>0</v>
      </c>
      <c r="E467" s="7" t="s">
        <v>8</v>
      </c>
      <c r="F467" s="7" t="s">
        <v>8</v>
      </c>
      <c r="G467" s="34">
        <v>0</v>
      </c>
      <c r="H467" s="35"/>
    </row>
    <row r="468" spans="1:9" ht="30.75" thickBot="1" x14ac:dyDescent="0.3">
      <c r="A468" s="2" t="s">
        <v>14</v>
      </c>
      <c r="B468" s="6">
        <f>G468*56%</f>
        <v>1495.2</v>
      </c>
      <c r="C468" s="6"/>
      <c r="D468" s="28">
        <f>G468-B468</f>
        <v>1174.8</v>
      </c>
      <c r="E468" s="7" t="s">
        <v>8</v>
      </c>
      <c r="F468" s="7" t="s">
        <v>8</v>
      </c>
      <c r="G468" s="34">
        <v>2670</v>
      </c>
      <c r="H468" s="35"/>
      <c r="I468" s="9"/>
    </row>
    <row r="469" spans="1:9" ht="45.75" thickBot="1" x14ac:dyDescent="0.3">
      <c r="A469" s="2" t="s">
        <v>15</v>
      </c>
      <c r="B469" s="7" t="s">
        <v>8</v>
      </c>
      <c r="C469" s="7" t="s">
        <v>8</v>
      </c>
      <c r="D469" s="6"/>
      <c r="E469" s="7" t="s">
        <v>8</v>
      </c>
      <c r="F469" s="7" t="s">
        <v>8</v>
      </c>
      <c r="G469" s="34"/>
      <c r="H469" s="35"/>
    </row>
    <row r="470" spans="1:9" ht="15.75" thickBot="1" x14ac:dyDescent="0.3">
      <c r="A470" s="2" t="s">
        <v>16</v>
      </c>
      <c r="B470" s="7" t="s">
        <v>8</v>
      </c>
      <c r="C470" s="7" t="s">
        <v>8</v>
      </c>
      <c r="D470" s="11"/>
      <c r="E470" s="6">
        <v>0</v>
      </c>
      <c r="F470" s="6"/>
      <c r="G470" s="34">
        <v>9000</v>
      </c>
      <c r="H470" s="35"/>
    </row>
    <row r="471" spans="1:9" ht="15.75" thickBot="1" x14ac:dyDescent="0.3">
      <c r="A471" s="3" t="s">
        <v>17</v>
      </c>
      <c r="B471" s="6">
        <f>G471*56%</f>
        <v>0</v>
      </c>
      <c r="C471" s="7"/>
      <c r="D471" s="6"/>
      <c r="E471" s="6">
        <f>G471-B471</f>
        <v>0</v>
      </c>
      <c r="F471" s="6"/>
      <c r="G471" s="34">
        <v>0</v>
      </c>
      <c r="H471" s="35"/>
    </row>
    <row r="472" spans="1:9" ht="15.75" thickBot="1" x14ac:dyDescent="0.3">
      <c r="A472" s="3" t="s">
        <v>18</v>
      </c>
      <c r="B472" s="6"/>
      <c r="C472" s="7"/>
      <c r="D472" s="7"/>
      <c r="E472" s="6"/>
      <c r="F472" s="6"/>
      <c r="G472" s="34"/>
      <c r="H472" s="35"/>
    </row>
    <row r="473" spans="1:9" ht="45.75" thickBot="1" x14ac:dyDescent="0.3">
      <c r="A473" s="2" t="s">
        <v>19</v>
      </c>
      <c r="B473" s="6"/>
      <c r="C473" s="7"/>
      <c r="D473" s="6"/>
      <c r="E473" s="6"/>
      <c r="F473" s="6"/>
      <c r="G473" s="38"/>
      <c r="H473" s="39"/>
    </row>
    <row r="474" spans="1:9" ht="45.75" thickBot="1" x14ac:dyDescent="0.3">
      <c r="A474" s="2" t="s">
        <v>20</v>
      </c>
      <c r="B474" s="6">
        <f>G474*56%</f>
        <v>36.96</v>
      </c>
      <c r="C474" s="7"/>
      <c r="D474" s="6"/>
      <c r="E474" s="6">
        <f>G474-B474</f>
        <v>29.04</v>
      </c>
      <c r="F474" s="6"/>
      <c r="G474" s="34">
        <v>66</v>
      </c>
      <c r="H474" s="35"/>
    </row>
    <row r="475" spans="1:9" ht="30.75" thickBot="1" x14ac:dyDescent="0.3">
      <c r="A475" s="2" t="s">
        <v>21</v>
      </c>
      <c r="B475" s="6">
        <f>G475*56%</f>
        <v>2320.6400000000003</v>
      </c>
      <c r="C475" s="6"/>
      <c r="D475" s="28">
        <f>G475-B475</f>
        <v>1823.3599999999997</v>
      </c>
      <c r="E475" s="7" t="s">
        <v>8</v>
      </c>
      <c r="F475" s="7" t="s">
        <v>8</v>
      </c>
      <c r="G475" s="34">
        <f>3692+294+158</f>
        <v>4144</v>
      </c>
      <c r="H475" s="35"/>
    </row>
    <row r="476" spans="1:9" ht="15.75" thickBot="1" x14ac:dyDescent="0.3">
      <c r="A476" s="3" t="s">
        <v>22</v>
      </c>
      <c r="B476" s="6">
        <f>G476*56%</f>
        <v>207.76000000000002</v>
      </c>
      <c r="C476" s="6"/>
      <c r="D476" s="28">
        <f>G476-B476</f>
        <v>163.23999999999998</v>
      </c>
      <c r="E476" s="7" t="s">
        <v>8</v>
      </c>
      <c r="F476" s="7" t="s">
        <v>8</v>
      </c>
      <c r="G476" s="34">
        <f>353+18</f>
        <v>371</v>
      </c>
      <c r="H476" s="35"/>
    </row>
    <row r="477" spans="1:9" ht="15.75" thickBot="1" x14ac:dyDescent="0.3">
      <c r="A477" s="3" t="s">
        <v>23</v>
      </c>
      <c r="B477" s="7" t="s">
        <v>8</v>
      </c>
      <c r="C477" s="11"/>
      <c r="D477" s="7" t="s">
        <v>8</v>
      </c>
      <c r="E477" s="7" t="s">
        <v>8</v>
      </c>
      <c r="F477" s="7" t="s">
        <v>8</v>
      </c>
      <c r="G477" s="38"/>
      <c r="H477" s="39"/>
    </row>
    <row r="478" spans="1:9" ht="15.75" thickBot="1" x14ac:dyDescent="0.3">
      <c r="A478" s="3" t="s">
        <v>24</v>
      </c>
      <c r="B478" s="6">
        <f>G478*56%</f>
        <v>0</v>
      </c>
      <c r="C478" s="6"/>
      <c r="D478" s="6"/>
      <c r="E478" s="7" t="s">
        <v>8</v>
      </c>
      <c r="F478" s="7" t="s">
        <v>8</v>
      </c>
      <c r="G478" s="34"/>
      <c r="H478" s="35"/>
    </row>
    <row r="479" spans="1:9" ht="15.75" thickBot="1" x14ac:dyDescent="0.3">
      <c r="A479" s="4" t="s">
        <v>25</v>
      </c>
      <c r="B479" s="6">
        <f>SUM(B463:B478)</f>
        <v>96810.959999999992</v>
      </c>
      <c r="C479" s="6"/>
      <c r="D479" s="6">
        <f>SUM(D463:D478)</f>
        <v>32450.999999999996</v>
      </c>
      <c r="E479" s="6">
        <f>SUM(E463:E478)</f>
        <v>29.04</v>
      </c>
      <c r="F479" s="6"/>
      <c r="G479" s="34">
        <f>SUM(G463:H478)</f>
        <v>138291</v>
      </c>
      <c r="H479" s="35"/>
    </row>
    <row r="480" spans="1:9" x14ac:dyDescent="0.25">
      <c r="A480" s="36" t="s">
        <v>26</v>
      </c>
      <c r="B480" s="36"/>
      <c r="C480" s="36"/>
      <c r="D480" s="36"/>
      <c r="E480" s="36"/>
      <c r="F480" s="36"/>
      <c r="G480" s="36"/>
      <c r="H480" s="36"/>
    </row>
    <row r="481" spans="1:8" x14ac:dyDescent="0.25">
      <c r="A481" s="37" t="s">
        <v>27</v>
      </c>
      <c r="B481" s="37"/>
      <c r="C481" s="37"/>
      <c r="D481" s="37"/>
      <c r="E481" s="37"/>
      <c r="F481" s="37"/>
      <c r="G481" s="37"/>
      <c r="H481" s="37"/>
    </row>
    <row r="482" spans="1:8" x14ac:dyDescent="0.25">
      <c r="A482" s="37" t="s">
        <v>28</v>
      </c>
      <c r="B482" s="37"/>
      <c r="C482" s="37"/>
      <c r="D482" s="37"/>
      <c r="E482" s="37"/>
      <c r="F482" s="37"/>
      <c r="G482" s="37"/>
      <c r="H482" s="37"/>
    </row>
    <row r="483" spans="1:8" x14ac:dyDescent="0.25">
      <c r="A483" s="1"/>
      <c r="B483" s="8"/>
      <c r="C483" s="8"/>
      <c r="D483" s="8"/>
      <c r="E483" s="8"/>
      <c r="F483" s="8"/>
      <c r="G483" s="8"/>
      <c r="H483" s="8"/>
    </row>
    <row r="484" spans="1:8" ht="15.75" x14ac:dyDescent="0.25">
      <c r="A484" s="5"/>
    </row>
    <row r="485" spans="1:8" x14ac:dyDescent="0.25">
      <c r="B485" s="12" t="s">
        <v>41</v>
      </c>
      <c r="C485" s="12">
        <v>124171</v>
      </c>
    </row>
    <row r="486" spans="1:8" x14ac:dyDescent="0.25">
      <c r="C486" s="9">
        <f>C485-B479</f>
        <v>27360.040000000008</v>
      </c>
    </row>
    <row r="488" spans="1:8" x14ac:dyDescent="0.25">
      <c r="A488" s="29"/>
      <c r="B488" s="30"/>
      <c r="C488" s="30"/>
      <c r="D488" s="30"/>
      <c r="E488" s="56" t="s">
        <v>29</v>
      </c>
      <c r="F488" s="56"/>
      <c r="G488" s="56"/>
      <c r="H488" s="56"/>
    </row>
    <row r="489" spans="1:8" x14ac:dyDescent="0.25">
      <c r="A489" s="57"/>
      <c r="B489" s="58"/>
      <c r="C489" s="58"/>
      <c r="D489" s="59"/>
      <c r="E489" s="59" t="s">
        <v>0</v>
      </c>
      <c r="F489" s="59"/>
      <c r="G489" s="59"/>
      <c r="H489" s="59"/>
    </row>
    <row r="490" spans="1:8" x14ac:dyDescent="0.25">
      <c r="A490" s="57"/>
      <c r="B490" s="58"/>
      <c r="C490" s="58"/>
      <c r="D490" s="59"/>
      <c r="E490" s="59" t="s">
        <v>1</v>
      </c>
      <c r="F490" s="59"/>
      <c r="G490" s="59"/>
      <c r="H490" s="59"/>
    </row>
    <row r="491" spans="1:8" ht="15.75" thickBot="1" x14ac:dyDescent="0.3">
      <c r="A491" s="42" t="s">
        <v>44</v>
      </c>
      <c r="B491" s="42"/>
      <c r="C491" s="42"/>
      <c r="D491" s="42"/>
      <c r="E491" s="42"/>
      <c r="F491" s="42"/>
      <c r="G491" s="43"/>
      <c r="H491" s="43"/>
    </row>
    <row r="492" spans="1:8" ht="15.75" thickBot="1" x14ac:dyDescent="0.3">
      <c r="A492" s="44" t="s">
        <v>2</v>
      </c>
      <c r="B492" s="47" t="s">
        <v>30</v>
      </c>
      <c r="C492" s="48"/>
      <c r="D492" s="48"/>
      <c r="E492" s="48"/>
      <c r="F492" s="48"/>
      <c r="G492" s="49" t="s">
        <v>3</v>
      </c>
      <c r="H492" s="50"/>
    </row>
    <row r="493" spans="1:8" ht="105.75" thickBot="1" x14ac:dyDescent="0.3">
      <c r="A493" s="45"/>
      <c r="B493" s="40" t="s">
        <v>30</v>
      </c>
      <c r="C493" s="51"/>
      <c r="D493" s="27" t="s">
        <v>32</v>
      </c>
      <c r="E493" s="51" t="s">
        <v>4</v>
      </c>
      <c r="F493" s="41"/>
      <c r="G493" s="52"/>
      <c r="H493" s="53"/>
    </row>
    <row r="494" spans="1:8" ht="150.75" thickBot="1" x14ac:dyDescent="0.3">
      <c r="A494" s="46"/>
      <c r="B494" s="33" t="s">
        <v>36</v>
      </c>
      <c r="C494" s="33" t="s">
        <v>5</v>
      </c>
      <c r="D494" s="33" t="s">
        <v>33</v>
      </c>
      <c r="E494" s="33" t="s">
        <v>34</v>
      </c>
      <c r="F494" s="33" t="s">
        <v>35</v>
      </c>
      <c r="G494" s="54"/>
      <c r="H494" s="55"/>
    </row>
    <row r="495" spans="1:8" ht="15.75" thickBot="1" x14ac:dyDescent="0.3">
      <c r="A495" s="26">
        <v>1</v>
      </c>
      <c r="B495" s="33">
        <v>2</v>
      </c>
      <c r="C495" s="10">
        <v>3</v>
      </c>
      <c r="D495" s="33">
        <v>4</v>
      </c>
      <c r="E495" s="10">
        <v>5</v>
      </c>
      <c r="F495" s="33">
        <v>6</v>
      </c>
      <c r="G495" s="40" t="s">
        <v>37</v>
      </c>
      <c r="H495" s="41"/>
    </row>
    <row r="496" spans="1:8" ht="60.75" thickBot="1" x14ac:dyDescent="0.3">
      <c r="A496" s="2" t="s">
        <v>7</v>
      </c>
      <c r="B496" s="6">
        <f>B497</f>
        <v>77744.960000000006</v>
      </c>
      <c r="C496" s="11"/>
      <c r="D496" s="6">
        <f>D497</f>
        <v>24551.039999999994</v>
      </c>
      <c r="E496" s="7" t="s">
        <v>8</v>
      </c>
      <c r="F496" s="7" t="s">
        <v>8</v>
      </c>
      <c r="G496" s="34">
        <f>106982-1377-3309</f>
        <v>102296</v>
      </c>
      <c r="H496" s="35"/>
    </row>
    <row r="497" spans="1:8" ht="15.75" thickBot="1" x14ac:dyDescent="0.3">
      <c r="A497" s="3" t="s">
        <v>9</v>
      </c>
      <c r="B497" s="6">
        <f>G497*76%</f>
        <v>77744.960000000006</v>
      </c>
      <c r="C497" s="11"/>
      <c r="D497" s="28">
        <f>G497-B497</f>
        <v>24551.039999999994</v>
      </c>
      <c r="E497" s="7" t="s">
        <v>8</v>
      </c>
      <c r="F497" s="7" t="s">
        <v>8</v>
      </c>
      <c r="G497" s="34">
        <f>G496-G498</f>
        <v>102296</v>
      </c>
      <c r="H497" s="35"/>
    </row>
    <row r="498" spans="1:8" ht="15.75" thickBot="1" x14ac:dyDescent="0.3">
      <c r="A498" s="2" t="s">
        <v>10</v>
      </c>
      <c r="B498" s="6">
        <v>0</v>
      </c>
      <c r="C498" s="11"/>
      <c r="D498" s="6">
        <v>0</v>
      </c>
      <c r="E498" s="7" t="s">
        <v>8</v>
      </c>
      <c r="F498" s="7" t="s">
        <v>8</v>
      </c>
      <c r="G498" s="34"/>
      <c r="H498" s="35"/>
    </row>
    <row r="499" spans="1:8" ht="60.75" thickBot="1" x14ac:dyDescent="0.3">
      <c r="A499" s="2" t="s">
        <v>11</v>
      </c>
      <c r="B499" s="6">
        <f>G499*76%</f>
        <v>21323.32</v>
      </c>
      <c r="C499" s="11"/>
      <c r="D499" s="28">
        <f>G499-B499</f>
        <v>6733.68</v>
      </c>
      <c r="E499" s="7" t="s">
        <v>8</v>
      </c>
      <c r="F499" s="7" t="s">
        <v>8</v>
      </c>
      <c r="G499" s="34">
        <f>28881-526-298</f>
        <v>28057</v>
      </c>
      <c r="H499" s="35"/>
    </row>
    <row r="500" spans="1:8" ht="30.75" thickBot="1" x14ac:dyDescent="0.3">
      <c r="A500" s="2" t="s">
        <v>12</v>
      </c>
      <c r="B500" s="6">
        <f>G500*76%</f>
        <v>4187.6000000000004</v>
      </c>
      <c r="C500" s="11"/>
      <c r="D500" s="28">
        <f>G500-B500</f>
        <v>1322.3999999999996</v>
      </c>
      <c r="E500" s="7" t="s">
        <v>8</v>
      </c>
      <c r="F500" s="7" t="s">
        <v>8</v>
      </c>
      <c r="G500" s="34">
        <f>3309+1377+526+298</f>
        <v>5510</v>
      </c>
      <c r="H500" s="35"/>
    </row>
    <row r="501" spans="1:8" ht="15.75" thickBot="1" x14ac:dyDescent="0.3">
      <c r="A501" s="2" t="s">
        <v>13</v>
      </c>
      <c r="B501" s="6">
        <f>G501*56%</f>
        <v>0</v>
      </c>
      <c r="C501" s="6"/>
      <c r="D501" s="28">
        <f>G501-B501</f>
        <v>0</v>
      </c>
      <c r="E501" s="7" t="s">
        <v>8</v>
      </c>
      <c r="F501" s="7" t="s">
        <v>8</v>
      </c>
      <c r="G501" s="34">
        <v>0</v>
      </c>
      <c r="H501" s="35"/>
    </row>
    <row r="502" spans="1:8" ht="30.75" thickBot="1" x14ac:dyDescent="0.3">
      <c r="A502" s="2" t="s">
        <v>14</v>
      </c>
      <c r="B502" s="6">
        <f>G502*56%</f>
        <v>1495.2</v>
      </c>
      <c r="C502" s="6"/>
      <c r="D502" s="28">
        <f>G502-B502</f>
        <v>1174.8</v>
      </c>
      <c r="E502" s="7" t="s">
        <v>8</v>
      </c>
      <c r="F502" s="7" t="s">
        <v>8</v>
      </c>
      <c r="G502" s="34">
        <v>2670</v>
      </c>
      <c r="H502" s="35"/>
    </row>
    <row r="503" spans="1:8" ht="45.75" thickBot="1" x14ac:dyDescent="0.3">
      <c r="A503" s="2" t="s">
        <v>15</v>
      </c>
      <c r="B503" s="7" t="s">
        <v>8</v>
      </c>
      <c r="C503" s="7" t="s">
        <v>8</v>
      </c>
      <c r="D503" s="6"/>
      <c r="E503" s="7" t="s">
        <v>8</v>
      </c>
      <c r="F503" s="7" t="s">
        <v>8</v>
      </c>
      <c r="G503" s="34"/>
      <c r="H503" s="35"/>
    </row>
    <row r="504" spans="1:8" ht="15.75" thickBot="1" x14ac:dyDescent="0.3">
      <c r="A504" s="2" t="s">
        <v>16</v>
      </c>
      <c r="B504" s="7" t="s">
        <v>8</v>
      </c>
      <c r="C504" s="7" t="s">
        <v>8</v>
      </c>
      <c r="D504" s="11"/>
      <c r="E504" s="6">
        <v>0</v>
      </c>
      <c r="F504" s="6"/>
      <c r="G504" s="34">
        <v>10500</v>
      </c>
      <c r="H504" s="35"/>
    </row>
    <row r="505" spans="1:8" ht="15.75" thickBot="1" x14ac:dyDescent="0.3">
      <c r="A505" s="3" t="s">
        <v>17</v>
      </c>
      <c r="B505" s="6">
        <f>G505*56%</f>
        <v>0</v>
      </c>
      <c r="C505" s="7"/>
      <c r="D505" s="6"/>
      <c r="E505" s="6">
        <f>G505-B505</f>
        <v>0</v>
      </c>
      <c r="F505" s="6"/>
      <c r="G505" s="34">
        <v>0</v>
      </c>
      <c r="H505" s="35"/>
    </row>
    <row r="506" spans="1:8" ht="15.75" thickBot="1" x14ac:dyDescent="0.3">
      <c r="A506" s="3" t="s">
        <v>18</v>
      </c>
      <c r="B506" s="6"/>
      <c r="C506" s="7"/>
      <c r="D506" s="7"/>
      <c r="E506" s="6"/>
      <c r="F506" s="6"/>
      <c r="G506" s="34"/>
      <c r="H506" s="35"/>
    </row>
    <row r="507" spans="1:8" ht="45.75" thickBot="1" x14ac:dyDescent="0.3">
      <c r="A507" s="2" t="s">
        <v>19</v>
      </c>
      <c r="B507" s="6"/>
      <c r="C507" s="7"/>
      <c r="D507" s="6"/>
      <c r="E507" s="6"/>
      <c r="F507" s="6"/>
      <c r="G507" s="38"/>
      <c r="H507" s="39"/>
    </row>
    <row r="508" spans="1:8" ht="45.75" thickBot="1" x14ac:dyDescent="0.3">
      <c r="A508" s="2" t="s">
        <v>20</v>
      </c>
      <c r="B508" s="6">
        <f>G508*56%</f>
        <v>43.120000000000005</v>
      </c>
      <c r="C508" s="7"/>
      <c r="D508" s="6"/>
      <c r="E508" s="6">
        <f>G508-B508</f>
        <v>33.879999999999995</v>
      </c>
      <c r="F508" s="6"/>
      <c r="G508" s="34">
        <v>77</v>
      </c>
      <c r="H508" s="35"/>
    </row>
    <row r="509" spans="1:8" ht="30.75" thickBot="1" x14ac:dyDescent="0.3">
      <c r="A509" s="2" t="s">
        <v>21</v>
      </c>
      <c r="B509" s="6">
        <f>G509*56%</f>
        <v>2531.7600000000002</v>
      </c>
      <c r="C509" s="6"/>
      <c r="D509" s="28">
        <f>G509-B509</f>
        <v>1989.2399999999998</v>
      </c>
      <c r="E509" s="7" t="s">
        <v>8</v>
      </c>
      <c r="F509" s="7" t="s">
        <v>8</v>
      </c>
      <c r="G509" s="34">
        <f>294+4069+158</f>
        <v>4521</v>
      </c>
      <c r="H509" s="35"/>
    </row>
    <row r="510" spans="1:8" ht="15.75" thickBot="1" x14ac:dyDescent="0.3">
      <c r="A510" s="3" t="s">
        <v>22</v>
      </c>
      <c r="B510" s="6">
        <f>G510*56%</f>
        <v>219.52</v>
      </c>
      <c r="C510" s="6"/>
      <c r="D510" s="28">
        <f>G510-B510</f>
        <v>172.48</v>
      </c>
      <c r="E510" s="7" t="s">
        <v>8</v>
      </c>
      <c r="F510" s="7" t="s">
        <v>8</v>
      </c>
      <c r="G510" s="34">
        <f>18+374</f>
        <v>392</v>
      </c>
      <c r="H510" s="35"/>
    </row>
    <row r="511" spans="1:8" ht="15.75" thickBot="1" x14ac:dyDescent="0.3">
      <c r="A511" s="3" t="s">
        <v>23</v>
      </c>
      <c r="B511" s="7" t="s">
        <v>8</v>
      </c>
      <c r="C511" s="11"/>
      <c r="D511" s="7" t="s">
        <v>8</v>
      </c>
      <c r="E511" s="7" t="s">
        <v>8</v>
      </c>
      <c r="F511" s="7" t="s">
        <v>8</v>
      </c>
      <c r="G511" s="38"/>
      <c r="H511" s="39"/>
    </row>
    <row r="512" spans="1:8" ht="15.75" thickBot="1" x14ac:dyDescent="0.3">
      <c r="A512" s="3" t="s">
        <v>24</v>
      </c>
      <c r="B512" s="6">
        <f>G512*56%</f>
        <v>0</v>
      </c>
      <c r="C512" s="6"/>
      <c r="D512" s="6"/>
      <c r="E512" s="7" t="s">
        <v>8</v>
      </c>
      <c r="F512" s="7" t="s">
        <v>8</v>
      </c>
      <c r="G512" s="34"/>
      <c r="H512" s="35"/>
    </row>
    <row r="513" spans="1:8" ht="15.75" thickBot="1" x14ac:dyDescent="0.3">
      <c r="A513" s="4" t="s">
        <v>25</v>
      </c>
      <c r="B513" s="6">
        <f>SUM(B497:B512)</f>
        <v>107545.48</v>
      </c>
      <c r="C513" s="6"/>
      <c r="D513" s="6">
        <f>SUM(D497:D512)</f>
        <v>35943.64</v>
      </c>
      <c r="E513" s="6">
        <f>SUM(E497:E512)</f>
        <v>33.879999999999995</v>
      </c>
      <c r="F513" s="6"/>
      <c r="G513" s="34">
        <f>SUM(G497:H512)</f>
        <v>154023</v>
      </c>
      <c r="H513" s="35"/>
    </row>
    <row r="514" spans="1:8" x14ac:dyDescent="0.25">
      <c r="A514" s="36" t="s">
        <v>26</v>
      </c>
      <c r="B514" s="36"/>
      <c r="C514" s="36"/>
      <c r="D514" s="36"/>
      <c r="E514" s="36"/>
      <c r="F514" s="36"/>
      <c r="G514" s="36"/>
      <c r="H514" s="36"/>
    </row>
    <row r="515" spans="1:8" x14ac:dyDescent="0.25">
      <c r="A515" s="37" t="s">
        <v>27</v>
      </c>
      <c r="B515" s="37"/>
      <c r="C515" s="37"/>
      <c r="D515" s="37"/>
      <c r="E515" s="37"/>
      <c r="F515" s="37"/>
      <c r="G515" s="37"/>
      <c r="H515" s="37"/>
    </row>
    <row r="516" spans="1:8" x14ac:dyDescent="0.25">
      <c r="A516" s="37" t="s">
        <v>28</v>
      </c>
      <c r="B516" s="37"/>
      <c r="C516" s="37"/>
      <c r="D516" s="37"/>
      <c r="E516" s="37"/>
      <c r="F516" s="37"/>
      <c r="G516" s="37"/>
      <c r="H516" s="37"/>
    </row>
    <row r="517" spans="1:8" x14ac:dyDescent="0.25">
      <c r="A517" s="1"/>
      <c r="B517" s="8"/>
      <c r="C517" s="8"/>
      <c r="D517" s="8"/>
      <c r="E517" s="8"/>
      <c r="F517" s="8"/>
      <c r="G517" s="8"/>
      <c r="H517" s="8"/>
    </row>
    <row r="518" spans="1:8" ht="15.75" x14ac:dyDescent="0.25">
      <c r="A518" s="5"/>
    </row>
    <row r="519" spans="1:8" x14ac:dyDescent="0.25">
      <c r="B519" s="12" t="s">
        <v>45</v>
      </c>
      <c r="C519" s="12">
        <v>139226</v>
      </c>
    </row>
    <row r="520" spans="1:8" x14ac:dyDescent="0.25">
      <c r="C520" s="9">
        <f>C519-B513</f>
        <v>31680.520000000004</v>
      </c>
    </row>
    <row r="523" spans="1:8" x14ac:dyDescent="0.25">
      <c r="A523" s="29"/>
      <c r="B523" s="30"/>
      <c r="C523" s="30"/>
      <c r="D523" s="30"/>
      <c r="E523" s="56" t="s">
        <v>29</v>
      </c>
      <c r="F523" s="56"/>
      <c r="G523" s="56"/>
      <c r="H523" s="56"/>
    </row>
    <row r="524" spans="1:8" x14ac:dyDescent="0.25">
      <c r="A524" s="57"/>
      <c r="B524" s="58"/>
      <c r="C524" s="58"/>
      <c r="D524" s="59"/>
      <c r="E524" s="59" t="s">
        <v>0</v>
      </c>
      <c r="F524" s="59"/>
      <c r="G524" s="59"/>
      <c r="H524" s="59"/>
    </row>
    <row r="525" spans="1:8" x14ac:dyDescent="0.25">
      <c r="A525" s="57"/>
      <c r="B525" s="58"/>
      <c r="C525" s="58"/>
      <c r="D525" s="59"/>
      <c r="E525" s="59" t="s">
        <v>1</v>
      </c>
      <c r="F525" s="59"/>
      <c r="G525" s="59"/>
      <c r="H525" s="59"/>
    </row>
    <row r="526" spans="1:8" ht="15.75" thickBot="1" x14ac:dyDescent="0.3">
      <c r="A526" s="42" t="s">
        <v>46</v>
      </c>
      <c r="B526" s="42"/>
      <c r="C526" s="42"/>
      <c r="D526" s="42"/>
      <c r="E526" s="42"/>
      <c r="F526" s="42"/>
      <c r="G526" s="43"/>
      <c r="H526" s="43"/>
    </row>
    <row r="527" spans="1:8" ht="15.75" thickBot="1" x14ac:dyDescent="0.3">
      <c r="A527" s="44" t="s">
        <v>2</v>
      </c>
      <c r="B527" s="47" t="s">
        <v>30</v>
      </c>
      <c r="C527" s="48"/>
      <c r="D527" s="48"/>
      <c r="E527" s="48"/>
      <c r="F527" s="48"/>
      <c r="G527" s="49" t="s">
        <v>3</v>
      </c>
      <c r="H527" s="50"/>
    </row>
    <row r="528" spans="1:8" ht="105.75" thickBot="1" x14ac:dyDescent="0.3">
      <c r="A528" s="45"/>
      <c r="B528" s="40" t="s">
        <v>30</v>
      </c>
      <c r="C528" s="51"/>
      <c r="D528" s="27" t="s">
        <v>32</v>
      </c>
      <c r="E528" s="51" t="s">
        <v>4</v>
      </c>
      <c r="F528" s="41"/>
      <c r="G528" s="52"/>
      <c r="H528" s="53"/>
    </row>
    <row r="529" spans="1:8" ht="150.75" thickBot="1" x14ac:dyDescent="0.3">
      <c r="A529" s="46"/>
      <c r="B529" s="33" t="s">
        <v>36</v>
      </c>
      <c r="C529" s="33" t="s">
        <v>5</v>
      </c>
      <c r="D529" s="33" t="s">
        <v>33</v>
      </c>
      <c r="E529" s="33" t="s">
        <v>34</v>
      </c>
      <c r="F529" s="33" t="s">
        <v>35</v>
      </c>
      <c r="G529" s="54"/>
      <c r="H529" s="55"/>
    </row>
    <row r="530" spans="1:8" ht="15.75" thickBot="1" x14ac:dyDescent="0.3">
      <c r="A530" s="26">
        <v>1</v>
      </c>
      <c r="B530" s="33">
        <v>2</v>
      </c>
      <c r="C530" s="10">
        <v>3</v>
      </c>
      <c r="D530" s="33">
        <v>4</v>
      </c>
      <c r="E530" s="10">
        <v>5</v>
      </c>
      <c r="F530" s="33">
        <v>6</v>
      </c>
      <c r="G530" s="40" t="s">
        <v>37</v>
      </c>
      <c r="H530" s="41"/>
    </row>
    <row r="531" spans="1:8" ht="60.75" thickBot="1" x14ac:dyDescent="0.3">
      <c r="A531" s="2" t="s">
        <v>7</v>
      </c>
      <c r="B531" s="6">
        <f>B532</f>
        <v>85303.92</v>
      </c>
      <c r="C531" s="11"/>
      <c r="D531" s="6">
        <f>D532</f>
        <v>26938.080000000002</v>
      </c>
      <c r="E531" s="7" t="s">
        <v>8</v>
      </c>
      <c r="F531" s="7" t="s">
        <v>8</v>
      </c>
      <c r="G531" s="34">
        <f>116946-1395-3309</f>
        <v>112242</v>
      </c>
      <c r="H531" s="35"/>
    </row>
    <row r="532" spans="1:8" ht="15.75" thickBot="1" x14ac:dyDescent="0.3">
      <c r="A532" s="3" t="s">
        <v>9</v>
      </c>
      <c r="B532" s="6">
        <f>G532*76%</f>
        <v>85303.92</v>
      </c>
      <c r="C532" s="11"/>
      <c r="D532" s="28">
        <f>G532-B532</f>
        <v>26938.080000000002</v>
      </c>
      <c r="E532" s="7" t="s">
        <v>8</v>
      </c>
      <c r="F532" s="7" t="s">
        <v>8</v>
      </c>
      <c r="G532" s="34">
        <f>G531-G533</f>
        <v>112242</v>
      </c>
      <c r="H532" s="35"/>
    </row>
    <row r="533" spans="1:8" ht="15.75" thickBot="1" x14ac:dyDescent="0.3">
      <c r="A533" s="2" t="s">
        <v>10</v>
      </c>
      <c r="B533" s="6">
        <v>0</v>
      </c>
      <c r="C533" s="11"/>
      <c r="D533" s="6">
        <v>0</v>
      </c>
      <c r="E533" s="7" t="s">
        <v>8</v>
      </c>
      <c r="F533" s="7" t="s">
        <v>8</v>
      </c>
      <c r="G533" s="34"/>
      <c r="H533" s="35"/>
    </row>
    <row r="534" spans="1:8" ht="60.75" thickBot="1" x14ac:dyDescent="0.3">
      <c r="A534" s="2" t="s">
        <v>11</v>
      </c>
      <c r="B534" s="6">
        <f>G534*76%</f>
        <v>24660.48</v>
      </c>
      <c r="C534" s="11"/>
      <c r="D534" s="28">
        <f>G534-B534</f>
        <v>7787.52</v>
      </c>
      <c r="E534" s="7" t="s">
        <v>8</v>
      </c>
      <c r="F534" s="7" t="s">
        <v>8</v>
      </c>
      <c r="G534" s="34">
        <f>32758-310</f>
        <v>32448</v>
      </c>
      <c r="H534" s="35"/>
    </row>
    <row r="535" spans="1:8" ht="30.75" thickBot="1" x14ac:dyDescent="0.3">
      <c r="A535" s="2" t="s">
        <v>12</v>
      </c>
      <c r="B535" s="6">
        <f>G535*76%</f>
        <v>3810.64</v>
      </c>
      <c r="C535" s="11"/>
      <c r="D535" s="28">
        <f>G535-B535</f>
        <v>1203.3600000000001</v>
      </c>
      <c r="E535" s="7" t="s">
        <v>8</v>
      </c>
      <c r="F535" s="7" t="s">
        <v>8</v>
      </c>
      <c r="G535" s="34">
        <f>1395+3309+310</f>
        <v>5014</v>
      </c>
      <c r="H535" s="35"/>
    </row>
    <row r="536" spans="1:8" ht="15.75" thickBot="1" x14ac:dyDescent="0.3">
      <c r="A536" s="2" t="s">
        <v>13</v>
      </c>
      <c r="B536" s="6">
        <f>G536*56%</f>
        <v>0</v>
      </c>
      <c r="C536" s="6"/>
      <c r="D536" s="28">
        <f>G536-B536</f>
        <v>0</v>
      </c>
      <c r="E536" s="7" t="s">
        <v>8</v>
      </c>
      <c r="F536" s="7" t="s">
        <v>8</v>
      </c>
      <c r="G536" s="34">
        <v>0</v>
      </c>
      <c r="H536" s="35"/>
    </row>
    <row r="537" spans="1:8" ht="30.75" thickBot="1" x14ac:dyDescent="0.3">
      <c r="A537" s="2" t="s">
        <v>14</v>
      </c>
      <c r="B537" s="6">
        <f>G537*56%</f>
        <v>1942.64</v>
      </c>
      <c r="C537" s="6"/>
      <c r="D537" s="28">
        <f>G537-B537</f>
        <v>1526.36</v>
      </c>
      <c r="E537" s="7" t="s">
        <v>8</v>
      </c>
      <c r="F537" s="7" t="s">
        <v>8</v>
      </c>
      <c r="G537" s="34">
        <v>3469</v>
      </c>
      <c r="H537" s="35"/>
    </row>
    <row r="538" spans="1:8" ht="45.75" thickBot="1" x14ac:dyDescent="0.3">
      <c r="A538" s="2" t="s">
        <v>15</v>
      </c>
      <c r="B538" s="7" t="s">
        <v>8</v>
      </c>
      <c r="C538" s="7" t="s">
        <v>8</v>
      </c>
      <c r="D538" s="6"/>
      <c r="E538" s="7" t="s">
        <v>8</v>
      </c>
      <c r="F538" s="7" t="s">
        <v>8</v>
      </c>
      <c r="G538" s="34"/>
      <c r="H538" s="35"/>
    </row>
    <row r="539" spans="1:8" ht="15.75" thickBot="1" x14ac:dyDescent="0.3">
      <c r="A539" s="2" t="s">
        <v>16</v>
      </c>
      <c r="B539" s="7" t="s">
        <v>8</v>
      </c>
      <c r="C539" s="7" t="s">
        <v>8</v>
      </c>
      <c r="D539" s="11"/>
      <c r="E539" s="6">
        <v>0</v>
      </c>
      <c r="F539" s="6"/>
      <c r="G539" s="34">
        <v>12000</v>
      </c>
      <c r="H539" s="35"/>
    </row>
    <row r="540" spans="1:8" ht="15.75" thickBot="1" x14ac:dyDescent="0.3">
      <c r="A540" s="3" t="s">
        <v>17</v>
      </c>
      <c r="B540" s="6">
        <f>G540*56%</f>
        <v>0</v>
      </c>
      <c r="C540" s="7"/>
      <c r="D540" s="6"/>
      <c r="E540" s="6">
        <f>G540-B540</f>
        <v>0</v>
      </c>
      <c r="F540" s="6"/>
      <c r="G540" s="34">
        <v>0</v>
      </c>
      <c r="H540" s="35"/>
    </row>
    <row r="541" spans="1:8" ht="15.75" thickBot="1" x14ac:dyDescent="0.3">
      <c r="A541" s="3" t="s">
        <v>18</v>
      </c>
      <c r="B541" s="6"/>
      <c r="C541" s="7"/>
      <c r="D541" s="7"/>
      <c r="E541" s="6"/>
      <c r="F541" s="6"/>
      <c r="G541" s="34"/>
      <c r="H541" s="35"/>
    </row>
    <row r="542" spans="1:8" ht="45.75" thickBot="1" x14ac:dyDescent="0.3">
      <c r="A542" s="2" t="s">
        <v>19</v>
      </c>
      <c r="B542" s="6"/>
      <c r="C542" s="7"/>
      <c r="D542" s="6"/>
      <c r="E542" s="6"/>
      <c r="F542" s="6"/>
      <c r="G542" s="38"/>
      <c r="H542" s="39"/>
    </row>
    <row r="543" spans="1:8" ht="45.75" thickBot="1" x14ac:dyDescent="0.3">
      <c r="A543" s="2" t="s">
        <v>20</v>
      </c>
      <c r="B543" s="6">
        <f>G543*56%</f>
        <v>49.28</v>
      </c>
      <c r="C543" s="7"/>
      <c r="D543" s="6"/>
      <c r="E543" s="6">
        <f>G543-B543</f>
        <v>38.72</v>
      </c>
      <c r="F543" s="6"/>
      <c r="G543" s="34">
        <v>88</v>
      </c>
      <c r="H543" s="35"/>
    </row>
    <row r="544" spans="1:8" ht="30.75" thickBot="1" x14ac:dyDescent="0.3">
      <c r="A544" s="2" t="s">
        <v>21</v>
      </c>
      <c r="B544" s="6">
        <f>G544*56%</f>
        <v>3797.9200000000005</v>
      </c>
      <c r="C544" s="6"/>
      <c r="D544" s="28">
        <f>G544-B544</f>
        <v>2984.0799999999995</v>
      </c>
      <c r="E544" s="7" t="s">
        <v>8</v>
      </c>
      <c r="F544" s="7" t="s">
        <v>8</v>
      </c>
      <c r="G544" s="34">
        <f>294+6330+158</f>
        <v>6782</v>
      </c>
      <c r="H544" s="35"/>
    </row>
    <row r="545" spans="1:8" ht="15.75" thickBot="1" x14ac:dyDescent="0.3">
      <c r="A545" s="3" t="s">
        <v>22</v>
      </c>
      <c r="B545" s="6">
        <f>G545*56%</f>
        <v>241.92000000000002</v>
      </c>
      <c r="C545" s="6"/>
      <c r="D545" s="28">
        <f>G545-B545</f>
        <v>190.07999999999998</v>
      </c>
      <c r="E545" s="7" t="s">
        <v>8</v>
      </c>
      <c r="F545" s="7" t="s">
        <v>8</v>
      </c>
      <c r="G545" s="34">
        <f>414+18</f>
        <v>432</v>
      </c>
      <c r="H545" s="35"/>
    </row>
    <row r="546" spans="1:8" ht="15.75" thickBot="1" x14ac:dyDescent="0.3">
      <c r="A546" s="3" t="s">
        <v>23</v>
      </c>
      <c r="B546" s="7" t="s">
        <v>8</v>
      </c>
      <c r="C546" s="11"/>
      <c r="D546" s="7" t="s">
        <v>8</v>
      </c>
      <c r="E546" s="7" t="s">
        <v>8</v>
      </c>
      <c r="F546" s="7" t="s">
        <v>8</v>
      </c>
      <c r="G546" s="38"/>
      <c r="H546" s="39"/>
    </row>
    <row r="547" spans="1:8" ht="15.75" thickBot="1" x14ac:dyDescent="0.3">
      <c r="A547" s="3" t="s">
        <v>24</v>
      </c>
      <c r="B547" s="6">
        <f>G547*56%</f>
        <v>0</v>
      </c>
      <c r="C547" s="6"/>
      <c r="D547" s="6"/>
      <c r="E547" s="7" t="s">
        <v>8</v>
      </c>
      <c r="F547" s="7" t="s">
        <v>8</v>
      </c>
      <c r="G547" s="34"/>
      <c r="H547" s="35"/>
    </row>
    <row r="548" spans="1:8" ht="15.75" thickBot="1" x14ac:dyDescent="0.3">
      <c r="A548" s="4" t="s">
        <v>25</v>
      </c>
      <c r="B548" s="6">
        <f>SUM(B532:B547)</f>
        <v>119806.79999999999</v>
      </c>
      <c r="C548" s="6"/>
      <c r="D548" s="6">
        <f>SUM(D532:D547)</f>
        <v>40629.48000000001</v>
      </c>
      <c r="E548" s="6">
        <f>SUM(E532:E547)</f>
        <v>38.72</v>
      </c>
      <c r="F548" s="6"/>
      <c r="G548" s="34">
        <f>SUM(G532:H547)</f>
        <v>172475</v>
      </c>
      <c r="H548" s="35"/>
    </row>
    <row r="549" spans="1:8" x14ac:dyDescent="0.25">
      <c r="A549" s="36" t="s">
        <v>26</v>
      </c>
      <c r="B549" s="36"/>
      <c r="C549" s="36"/>
      <c r="D549" s="36"/>
      <c r="E549" s="36"/>
      <c r="F549" s="36"/>
      <c r="G549" s="36"/>
      <c r="H549" s="36"/>
    </row>
    <row r="550" spans="1:8" x14ac:dyDescent="0.25">
      <c r="A550" s="37" t="s">
        <v>27</v>
      </c>
      <c r="B550" s="37"/>
      <c r="C550" s="37"/>
      <c r="D550" s="37"/>
      <c r="E550" s="37"/>
      <c r="F550" s="37"/>
      <c r="G550" s="37"/>
      <c r="H550" s="37"/>
    </row>
    <row r="551" spans="1:8" x14ac:dyDescent="0.25">
      <c r="A551" s="37" t="s">
        <v>28</v>
      </c>
      <c r="B551" s="37"/>
      <c r="C551" s="37"/>
      <c r="D551" s="37"/>
      <c r="E551" s="37"/>
      <c r="F551" s="37"/>
      <c r="G551" s="37"/>
      <c r="H551" s="37"/>
    </row>
    <row r="552" spans="1:8" x14ac:dyDescent="0.25">
      <c r="A552" s="1"/>
      <c r="B552" s="8"/>
      <c r="C552" s="8"/>
      <c r="D552" s="8"/>
      <c r="E552" s="8"/>
      <c r="F552" s="8"/>
      <c r="G552" s="8"/>
      <c r="H552" s="8"/>
    </row>
    <row r="553" spans="1:8" ht="15.75" x14ac:dyDescent="0.25">
      <c r="A553" s="5"/>
    </row>
    <row r="554" spans="1:8" x14ac:dyDescent="0.25">
      <c r="B554" s="12" t="s">
        <v>45</v>
      </c>
      <c r="C554" s="12">
        <v>156157</v>
      </c>
    </row>
    <row r="555" spans="1:8" x14ac:dyDescent="0.25">
      <c r="C555" s="9">
        <f>C554-B548</f>
        <v>36350.200000000012</v>
      </c>
    </row>
    <row r="559" spans="1:8" x14ac:dyDescent="0.25">
      <c r="A559" s="29"/>
      <c r="B559" s="30"/>
      <c r="C559" s="30"/>
      <c r="D559" s="30"/>
      <c r="E559" s="56" t="s">
        <v>29</v>
      </c>
      <c r="F559" s="56"/>
      <c r="G559" s="56"/>
      <c r="H559" s="56"/>
    </row>
    <row r="560" spans="1:8" x14ac:dyDescent="0.25">
      <c r="A560" s="57"/>
      <c r="B560" s="58"/>
      <c r="C560" s="58"/>
      <c r="D560" s="59"/>
      <c r="E560" s="59" t="s">
        <v>0</v>
      </c>
      <c r="F560" s="59"/>
      <c r="G560" s="59"/>
      <c r="H560" s="59"/>
    </row>
    <row r="561" spans="1:8" x14ac:dyDescent="0.25">
      <c r="A561" s="57"/>
      <c r="B561" s="58"/>
      <c r="C561" s="58"/>
      <c r="D561" s="59"/>
      <c r="E561" s="59" t="s">
        <v>1</v>
      </c>
      <c r="F561" s="59"/>
      <c r="G561" s="59"/>
      <c r="H561" s="59"/>
    </row>
    <row r="562" spans="1:8" ht="15.75" thickBot="1" x14ac:dyDescent="0.3">
      <c r="A562" s="42" t="s">
        <v>38</v>
      </c>
      <c r="B562" s="42"/>
      <c r="C562" s="42"/>
      <c r="D562" s="42"/>
      <c r="E562" s="42"/>
      <c r="F562" s="42"/>
      <c r="G562" s="43"/>
      <c r="H562" s="43"/>
    </row>
    <row r="563" spans="1:8" ht="15.75" thickBot="1" x14ac:dyDescent="0.3">
      <c r="A563" s="44" t="s">
        <v>2</v>
      </c>
      <c r="B563" s="47" t="s">
        <v>30</v>
      </c>
      <c r="C563" s="48"/>
      <c r="D563" s="48"/>
      <c r="E563" s="48"/>
      <c r="F563" s="48"/>
      <c r="G563" s="49" t="s">
        <v>3</v>
      </c>
      <c r="H563" s="50"/>
    </row>
    <row r="564" spans="1:8" ht="105.75" thickBot="1" x14ac:dyDescent="0.3">
      <c r="A564" s="45"/>
      <c r="B564" s="40" t="s">
        <v>30</v>
      </c>
      <c r="C564" s="51"/>
      <c r="D564" s="27" t="s">
        <v>32</v>
      </c>
      <c r="E564" s="51" t="s">
        <v>4</v>
      </c>
      <c r="F564" s="41"/>
      <c r="G564" s="52"/>
      <c r="H564" s="53"/>
    </row>
    <row r="565" spans="1:8" ht="150.75" thickBot="1" x14ac:dyDescent="0.3">
      <c r="A565" s="46"/>
      <c r="B565" s="33" t="s">
        <v>36</v>
      </c>
      <c r="C565" s="33" t="s">
        <v>5</v>
      </c>
      <c r="D565" s="33" t="s">
        <v>33</v>
      </c>
      <c r="E565" s="33" t="s">
        <v>34</v>
      </c>
      <c r="F565" s="33" t="s">
        <v>35</v>
      </c>
      <c r="G565" s="54"/>
      <c r="H565" s="55"/>
    </row>
    <row r="566" spans="1:8" ht="15.75" thickBot="1" x14ac:dyDescent="0.3">
      <c r="A566" s="26">
        <v>1</v>
      </c>
      <c r="B566" s="33">
        <v>2</v>
      </c>
      <c r="C566" s="10">
        <v>3</v>
      </c>
      <c r="D566" s="33">
        <v>4</v>
      </c>
      <c r="E566" s="10">
        <v>5</v>
      </c>
      <c r="F566" s="33">
        <v>6</v>
      </c>
      <c r="G566" s="40" t="s">
        <v>37</v>
      </c>
      <c r="H566" s="41"/>
    </row>
    <row r="567" spans="1:8" ht="60.75" thickBot="1" x14ac:dyDescent="0.3">
      <c r="A567" s="2" t="s">
        <v>7</v>
      </c>
      <c r="B567" s="6">
        <f>B568</f>
        <v>95739.48</v>
      </c>
      <c r="C567" s="11"/>
      <c r="D567" s="6">
        <f>D568</f>
        <v>30233.520000000004</v>
      </c>
      <c r="E567" s="7" t="s">
        <v>8</v>
      </c>
      <c r="F567" s="7" t="s">
        <v>8</v>
      </c>
      <c r="G567" s="34">
        <f>130777-1495-3309</f>
        <v>125973</v>
      </c>
      <c r="H567" s="35"/>
    </row>
    <row r="568" spans="1:8" ht="15.75" thickBot="1" x14ac:dyDescent="0.3">
      <c r="A568" s="3" t="s">
        <v>9</v>
      </c>
      <c r="B568" s="6">
        <f>G568*76%</f>
        <v>95739.48</v>
      </c>
      <c r="C568" s="11"/>
      <c r="D568" s="28">
        <f>G568-B568</f>
        <v>30233.520000000004</v>
      </c>
      <c r="E568" s="7" t="s">
        <v>8</v>
      </c>
      <c r="F568" s="7" t="s">
        <v>8</v>
      </c>
      <c r="G568" s="34">
        <f>G567-G569</f>
        <v>125973</v>
      </c>
      <c r="H568" s="35"/>
    </row>
    <row r="569" spans="1:8" ht="15.75" thickBot="1" x14ac:dyDescent="0.3">
      <c r="A569" s="2" t="s">
        <v>10</v>
      </c>
      <c r="B569" s="6">
        <v>0</v>
      </c>
      <c r="C569" s="11"/>
      <c r="D569" s="6">
        <v>0</v>
      </c>
      <c r="E569" s="7" t="s">
        <v>8</v>
      </c>
      <c r="F569" s="7" t="s">
        <v>8</v>
      </c>
      <c r="G569" s="34"/>
      <c r="H569" s="35"/>
    </row>
    <row r="570" spans="1:8" ht="60.75" thickBot="1" x14ac:dyDescent="0.3">
      <c r="A570" s="2" t="s">
        <v>11</v>
      </c>
      <c r="B570" s="6">
        <f>G570*76%</f>
        <v>28201.32</v>
      </c>
      <c r="C570" s="11"/>
      <c r="D570" s="28">
        <f>G570-B570</f>
        <v>8905.68</v>
      </c>
      <c r="E570" s="7" t="s">
        <v>8</v>
      </c>
      <c r="F570" s="7" t="s">
        <v>8</v>
      </c>
      <c r="G570" s="34">
        <f>37474-367</f>
        <v>37107</v>
      </c>
      <c r="H570" s="35"/>
    </row>
    <row r="571" spans="1:8" ht="30.75" thickBot="1" x14ac:dyDescent="0.3">
      <c r="A571" s="2" t="s">
        <v>12</v>
      </c>
      <c r="B571" s="6">
        <f>G571*76%</f>
        <v>3929.96</v>
      </c>
      <c r="C571" s="11"/>
      <c r="D571" s="28">
        <f>G571-B571</f>
        <v>1241.04</v>
      </c>
      <c r="E571" s="7" t="s">
        <v>8</v>
      </c>
      <c r="F571" s="7" t="s">
        <v>8</v>
      </c>
      <c r="G571" s="34">
        <f>367+1495+3309</f>
        <v>5171</v>
      </c>
      <c r="H571" s="35"/>
    </row>
    <row r="572" spans="1:8" ht="15.75" thickBot="1" x14ac:dyDescent="0.3">
      <c r="A572" s="2" t="s">
        <v>13</v>
      </c>
      <c r="B572" s="6">
        <f>G572*56%</f>
        <v>0</v>
      </c>
      <c r="C572" s="6"/>
      <c r="D572" s="28">
        <f>G572-B572</f>
        <v>0</v>
      </c>
      <c r="E572" s="7" t="s">
        <v>8</v>
      </c>
      <c r="F572" s="7" t="s">
        <v>8</v>
      </c>
      <c r="G572" s="34">
        <v>0</v>
      </c>
      <c r="H572" s="35"/>
    </row>
    <row r="573" spans="1:8" ht="30.75" thickBot="1" x14ac:dyDescent="0.3">
      <c r="A573" s="2" t="s">
        <v>14</v>
      </c>
      <c r="B573" s="6">
        <f>G573*56%</f>
        <v>3467.5200000000004</v>
      </c>
      <c r="C573" s="6"/>
      <c r="D573" s="28">
        <f>G573-B573</f>
        <v>2724.4799999999996</v>
      </c>
      <c r="E573" s="7" t="s">
        <v>8</v>
      </c>
      <c r="F573" s="7" t="s">
        <v>8</v>
      </c>
      <c r="G573" s="34">
        <v>6192</v>
      </c>
      <c r="H573" s="35"/>
    </row>
    <row r="574" spans="1:8" ht="45.75" thickBot="1" x14ac:dyDescent="0.3">
      <c r="A574" s="2" t="s">
        <v>15</v>
      </c>
      <c r="B574" s="7" t="s">
        <v>8</v>
      </c>
      <c r="C574" s="7" t="s">
        <v>8</v>
      </c>
      <c r="D574" s="6"/>
      <c r="E574" s="7" t="s">
        <v>8</v>
      </c>
      <c r="F574" s="7" t="s">
        <v>8</v>
      </c>
      <c r="G574" s="34"/>
      <c r="H574" s="35"/>
    </row>
    <row r="575" spans="1:8" ht="15.75" thickBot="1" x14ac:dyDescent="0.3">
      <c r="A575" s="2" t="s">
        <v>16</v>
      </c>
      <c r="B575" s="7" t="s">
        <v>8</v>
      </c>
      <c r="C575" s="7" t="s">
        <v>8</v>
      </c>
      <c r="D575" s="11"/>
      <c r="E575" s="6">
        <v>750</v>
      </c>
      <c r="F575" s="6"/>
      <c r="G575" s="34">
        <v>12000</v>
      </c>
      <c r="H575" s="35"/>
    </row>
    <row r="576" spans="1:8" ht="15.75" thickBot="1" x14ac:dyDescent="0.3">
      <c r="A576" s="3" t="s">
        <v>17</v>
      </c>
      <c r="B576" s="6">
        <f>G576*56%</f>
        <v>2651.6000000000004</v>
      </c>
      <c r="C576" s="7"/>
      <c r="D576" s="6"/>
      <c r="E576" s="6">
        <f>G576-B576</f>
        <v>2083.3999999999996</v>
      </c>
      <c r="F576" s="6"/>
      <c r="G576" s="34">
        <v>4735</v>
      </c>
      <c r="H576" s="35"/>
    </row>
    <row r="577" spans="1:8" ht="15.75" thickBot="1" x14ac:dyDescent="0.3">
      <c r="A577" s="3" t="s">
        <v>18</v>
      </c>
      <c r="B577" s="6"/>
      <c r="C577" s="7"/>
      <c r="D577" s="7"/>
      <c r="E577" s="6"/>
      <c r="F577" s="6"/>
      <c r="G577" s="34"/>
      <c r="H577" s="35"/>
    </row>
    <row r="578" spans="1:8" ht="45.75" thickBot="1" x14ac:dyDescent="0.3">
      <c r="A578" s="2" t="s">
        <v>19</v>
      </c>
      <c r="B578" s="6"/>
      <c r="C578" s="7"/>
      <c r="D578" s="6"/>
      <c r="E578" s="6"/>
      <c r="F578" s="6"/>
      <c r="G578" s="38"/>
      <c r="H578" s="39"/>
    </row>
    <row r="579" spans="1:8" ht="45.75" thickBot="1" x14ac:dyDescent="0.3">
      <c r="A579" s="2" t="s">
        <v>20</v>
      </c>
      <c r="B579" s="6">
        <f>G579*56%</f>
        <v>55.440000000000005</v>
      </c>
      <c r="C579" s="7"/>
      <c r="D579" s="6"/>
      <c r="E579" s="6">
        <f>G579-B579</f>
        <v>43.559999999999995</v>
      </c>
      <c r="F579" s="6"/>
      <c r="G579" s="34">
        <v>99</v>
      </c>
      <c r="H579" s="35"/>
    </row>
    <row r="580" spans="1:8" ht="30.75" thickBot="1" x14ac:dyDescent="0.3">
      <c r="A580" s="2" t="s">
        <v>21</v>
      </c>
      <c r="B580" s="6">
        <f>G580*56%</f>
        <v>4113.76</v>
      </c>
      <c r="C580" s="6"/>
      <c r="D580" s="28">
        <f>G580-B580</f>
        <v>3232.24</v>
      </c>
      <c r="E580" s="7" t="s">
        <v>8</v>
      </c>
      <c r="F580" s="7" t="s">
        <v>8</v>
      </c>
      <c r="G580" s="34">
        <f>294+6894+158</f>
        <v>7346</v>
      </c>
      <c r="H580" s="35"/>
    </row>
    <row r="581" spans="1:8" ht="15.75" thickBot="1" x14ac:dyDescent="0.3">
      <c r="A581" s="3" t="s">
        <v>22</v>
      </c>
      <c r="B581" s="6">
        <f>G581*56%</f>
        <v>256.48</v>
      </c>
      <c r="C581" s="6"/>
      <c r="D581" s="28">
        <f>G581-B581</f>
        <v>201.51999999999998</v>
      </c>
      <c r="E581" s="7" t="s">
        <v>8</v>
      </c>
      <c r="F581" s="7" t="s">
        <v>8</v>
      </c>
      <c r="G581" s="34">
        <f>18+440</f>
        <v>458</v>
      </c>
      <c r="H581" s="35"/>
    </row>
    <row r="582" spans="1:8" ht="15.75" thickBot="1" x14ac:dyDescent="0.3">
      <c r="A582" s="3" t="s">
        <v>23</v>
      </c>
      <c r="B582" s="7" t="s">
        <v>8</v>
      </c>
      <c r="C582" s="11"/>
      <c r="D582" s="7" t="s">
        <v>8</v>
      </c>
      <c r="E582" s="7" t="s">
        <v>8</v>
      </c>
      <c r="F582" s="7" t="s">
        <v>8</v>
      </c>
      <c r="G582" s="38"/>
      <c r="H582" s="39"/>
    </row>
    <row r="583" spans="1:8" ht="15.75" thickBot="1" x14ac:dyDescent="0.3">
      <c r="A583" s="3" t="s">
        <v>24</v>
      </c>
      <c r="B583" s="6">
        <f>G583*56%</f>
        <v>0</v>
      </c>
      <c r="C583" s="6"/>
      <c r="D583" s="6"/>
      <c r="E583" s="7" t="s">
        <v>8</v>
      </c>
      <c r="F583" s="7" t="s">
        <v>8</v>
      </c>
      <c r="G583" s="34"/>
      <c r="H583" s="35"/>
    </row>
    <row r="584" spans="1:8" ht="15.75" thickBot="1" x14ac:dyDescent="0.3">
      <c r="A584" s="4" t="s">
        <v>25</v>
      </c>
      <c r="B584" s="6">
        <f>SUM(B568:B583)</f>
        <v>138415.56000000003</v>
      </c>
      <c r="C584" s="6"/>
      <c r="D584" s="6">
        <f>SUM(D568:D583)</f>
        <v>46538.479999999996</v>
      </c>
      <c r="E584" s="6">
        <f>SUM(E568:E583)</f>
        <v>2876.9599999999996</v>
      </c>
      <c r="F584" s="6"/>
      <c r="G584" s="34">
        <f>SUM(G568:H583)</f>
        <v>199081</v>
      </c>
      <c r="H584" s="35"/>
    </row>
    <row r="585" spans="1:8" x14ac:dyDescent="0.25">
      <c r="A585" s="36" t="s">
        <v>26</v>
      </c>
      <c r="B585" s="36"/>
      <c r="C585" s="36"/>
      <c r="D585" s="36"/>
      <c r="E585" s="36"/>
      <c r="F585" s="36"/>
      <c r="G585" s="36"/>
      <c r="H585" s="36"/>
    </row>
    <row r="586" spans="1:8" x14ac:dyDescent="0.25">
      <c r="A586" s="37" t="s">
        <v>27</v>
      </c>
      <c r="B586" s="37"/>
      <c r="C586" s="37"/>
      <c r="D586" s="37"/>
      <c r="E586" s="37"/>
      <c r="F586" s="37"/>
      <c r="G586" s="37"/>
      <c r="H586" s="37"/>
    </row>
    <row r="587" spans="1:8" x14ac:dyDescent="0.25">
      <c r="A587" s="37" t="s">
        <v>28</v>
      </c>
      <c r="B587" s="37"/>
      <c r="C587" s="37"/>
      <c r="D587" s="37"/>
      <c r="E587" s="37"/>
      <c r="F587" s="37"/>
      <c r="G587" s="37"/>
      <c r="H587" s="37"/>
    </row>
    <row r="588" spans="1:8" x14ac:dyDescent="0.25">
      <c r="A588" s="1"/>
      <c r="B588" s="8"/>
      <c r="C588" s="8"/>
      <c r="D588" s="8"/>
      <c r="E588" s="8"/>
      <c r="F588" s="8"/>
      <c r="G588" s="8"/>
      <c r="H588" s="8"/>
    </row>
    <row r="589" spans="1:8" ht="15.75" x14ac:dyDescent="0.25">
      <c r="A589" s="5"/>
    </row>
    <row r="590" spans="1:8" x14ac:dyDescent="0.25">
      <c r="B590" s="12" t="s">
        <v>40</v>
      </c>
      <c r="C590" s="12">
        <v>172036</v>
      </c>
    </row>
    <row r="591" spans="1:8" x14ac:dyDescent="0.25">
      <c r="B591" s="12"/>
      <c r="C591" s="9">
        <f>C590-B584</f>
        <v>33620.439999999973</v>
      </c>
    </row>
    <row r="593" spans="1:9" x14ac:dyDescent="0.25">
      <c r="A593" s="29"/>
      <c r="B593" s="30"/>
      <c r="C593" s="30"/>
      <c r="D593" s="30"/>
      <c r="E593" s="56" t="s">
        <v>29</v>
      </c>
      <c r="F593" s="56"/>
      <c r="G593" s="56"/>
      <c r="H593" s="56"/>
    </row>
    <row r="594" spans="1:9" x14ac:dyDescent="0.25">
      <c r="A594" s="57"/>
      <c r="B594" s="58"/>
      <c r="C594" s="58"/>
      <c r="D594" s="59"/>
      <c r="E594" s="59" t="s">
        <v>0</v>
      </c>
      <c r="F594" s="59"/>
      <c r="G594" s="59"/>
      <c r="H594" s="59"/>
    </row>
    <row r="595" spans="1:9" x14ac:dyDescent="0.25">
      <c r="A595" s="57"/>
      <c r="B595" s="58"/>
      <c r="C595" s="58"/>
      <c r="D595" s="59"/>
      <c r="E595" s="59" t="s">
        <v>1</v>
      </c>
      <c r="F595" s="59"/>
      <c r="G595" s="59"/>
      <c r="H595" s="59"/>
    </row>
    <row r="596" spans="1:9" ht="15.75" thickBot="1" x14ac:dyDescent="0.3">
      <c r="A596" s="42" t="s">
        <v>47</v>
      </c>
      <c r="B596" s="42"/>
      <c r="C596" s="42"/>
      <c r="D596" s="42"/>
      <c r="E596" s="42"/>
      <c r="F596" s="42"/>
      <c r="G596" s="43"/>
      <c r="H596" s="43"/>
    </row>
    <row r="597" spans="1:9" ht="15.75" thickBot="1" x14ac:dyDescent="0.3">
      <c r="A597" s="44" t="s">
        <v>2</v>
      </c>
      <c r="B597" s="47" t="s">
        <v>30</v>
      </c>
      <c r="C597" s="48"/>
      <c r="D597" s="48"/>
      <c r="E597" s="48"/>
      <c r="F597" s="48"/>
      <c r="G597" s="49" t="s">
        <v>3</v>
      </c>
      <c r="H597" s="50"/>
    </row>
    <row r="598" spans="1:9" ht="105.75" thickBot="1" x14ac:dyDescent="0.3">
      <c r="A598" s="45"/>
      <c r="B598" s="40" t="s">
        <v>30</v>
      </c>
      <c r="C598" s="51"/>
      <c r="D598" s="27" t="s">
        <v>32</v>
      </c>
      <c r="E598" s="51" t="s">
        <v>4</v>
      </c>
      <c r="F598" s="41"/>
      <c r="G598" s="52"/>
      <c r="H598" s="53"/>
    </row>
    <row r="599" spans="1:9" ht="150.75" thickBot="1" x14ac:dyDescent="0.3">
      <c r="A599" s="46"/>
      <c r="B599" s="33" t="s">
        <v>36</v>
      </c>
      <c r="C599" s="33" t="s">
        <v>5</v>
      </c>
      <c r="D599" s="33" t="s">
        <v>33</v>
      </c>
      <c r="E599" s="33" t="s">
        <v>34</v>
      </c>
      <c r="F599" s="33" t="s">
        <v>35</v>
      </c>
      <c r="G599" s="54"/>
      <c r="H599" s="55"/>
    </row>
    <row r="600" spans="1:9" ht="15.75" thickBot="1" x14ac:dyDescent="0.3">
      <c r="A600" s="26">
        <v>1</v>
      </c>
      <c r="B600" s="33">
        <v>2</v>
      </c>
      <c r="C600" s="10">
        <v>3</v>
      </c>
      <c r="D600" s="33">
        <v>4</v>
      </c>
      <c r="E600" s="10">
        <v>5</v>
      </c>
      <c r="F600" s="33">
        <v>6</v>
      </c>
      <c r="G600" s="40" t="s">
        <v>37</v>
      </c>
      <c r="H600" s="41"/>
    </row>
    <row r="601" spans="1:9" ht="60.75" thickBot="1" x14ac:dyDescent="0.3">
      <c r="A601" s="2" t="s">
        <v>7</v>
      </c>
      <c r="B601" s="6">
        <f>B602</f>
        <v>109557.8</v>
      </c>
      <c r="C601" s="11"/>
      <c r="D601" s="6">
        <f>D602</f>
        <v>34597.199999999997</v>
      </c>
      <c r="E601" s="7" t="s">
        <v>8</v>
      </c>
      <c r="F601" s="7" t="s">
        <v>8</v>
      </c>
      <c r="G601" s="34">
        <f>149074-1610-3309</f>
        <v>144155</v>
      </c>
      <c r="H601" s="35"/>
    </row>
    <row r="602" spans="1:9" ht="15.75" thickBot="1" x14ac:dyDescent="0.3">
      <c r="A602" s="3" t="s">
        <v>9</v>
      </c>
      <c r="B602" s="6">
        <f>G602*76%</f>
        <v>109557.8</v>
      </c>
      <c r="C602" s="11"/>
      <c r="D602" s="28">
        <f>G602-B602</f>
        <v>34597.199999999997</v>
      </c>
      <c r="E602" s="7" t="s">
        <v>8</v>
      </c>
      <c r="F602" s="7" t="s">
        <v>8</v>
      </c>
      <c r="G602" s="34">
        <f>G601-G603</f>
        <v>144155</v>
      </c>
      <c r="H602" s="35"/>
    </row>
    <row r="603" spans="1:9" ht="15.75" thickBot="1" x14ac:dyDescent="0.3">
      <c r="A603" s="2" t="s">
        <v>10</v>
      </c>
      <c r="B603" s="6">
        <v>0</v>
      </c>
      <c r="C603" s="11"/>
      <c r="D603" s="6">
        <v>0</v>
      </c>
      <c r="E603" s="7" t="s">
        <v>8</v>
      </c>
      <c r="F603" s="7" t="s">
        <v>8</v>
      </c>
      <c r="G603" s="34"/>
      <c r="H603" s="35"/>
    </row>
    <row r="604" spans="1:9" ht="60.75" thickBot="1" x14ac:dyDescent="0.3">
      <c r="A604" s="2" t="s">
        <v>11</v>
      </c>
      <c r="B604" s="6">
        <f>G604*76%</f>
        <v>31883.52</v>
      </c>
      <c r="C604" s="11"/>
      <c r="D604" s="28">
        <f>G604-B604</f>
        <v>10068.48</v>
      </c>
      <c r="E604" s="7" t="s">
        <v>8</v>
      </c>
      <c r="F604" s="7" t="s">
        <v>8</v>
      </c>
      <c r="G604" s="34">
        <f>42355-403</f>
        <v>41952</v>
      </c>
      <c r="H604" s="35"/>
    </row>
    <row r="605" spans="1:9" ht="30.75" thickBot="1" x14ac:dyDescent="0.3">
      <c r="A605" s="2" t="s">
        <v>12</v>
      </c>
      <c r="B605" s="6">
        <f>G605*76%</f>
        <v>4044.7200000000003</v>
      </c>
      <c r="C605" s="11"/>
      <c r="D605" s="28">
        <f>G605-B605</f>
        <v>1277.2799999999997</v>
      </c>
      <c r="E605" s="7" t="s">
        <v>8</v>
      </c>
      <c r="F605" s="7" t="s">
        <v>8</v>
      </c>
      <c r="G605" s="34">
        <f>1610+3309+403</f>
        <v>5322</v>
      </c>
      <c r="H605" s="35"/>
      <c r="I605" s="9"/>
    </row>
    <row r="606" spans="1:9" ht="15.75" thickBot="1" x14ac:dyDescent="0.3">
      <c r="A606" s="2" t="s">
        <v>13</v>
      </c>
      <c r="B606" s="6">
        <f>G606*56%</f>
        <v>0</v>
      </c>
      <c r="C606" s="6"/>
      <c r="D606" s="28">
        <f>G606-B606</f>
        <v>0</v>
      </c>
      <c r="E606" s="7" t="s">
        <v>8</v>
      </c>
      <c r="F606" s="7" t="s">
        <v>8</v>
      </c>
      <c r="G606" s="34">
        <v>0</v>
      </c>
      <c r="H606" s="35"/>
    </row>
    <row r="607" spans="1:9" ht="30.75" thickBot="1" x14ac:dyDescent="0.3">
      <c r="A607" s="2" t="s">
        <v>14</v>
      </c>
      <c r="B607" s="6">
        <f>G607*56%</f>
        <v>6598.4800000000005</v>
      </c>
      <c r="C607" s="6"/>
      <c r="D607" s="28">
        <f>G607-B607</f>
        <v>5184.5199999999995</v>
      </c>
      <c r="E607" s="7" t="s">
        <v>8</v>
      </c>
      <c r="F607" s="7" t="s">
        <v>8</v>
      </c>
      <c r="G607" s="34">
        <v>11783</v>
      </c>
      <c r="H607" s="35"/>
      <c r="I607" s="9"/>
    </row>
    <row r="608" spans="1:9" ht="45.75" thickBot="1" x14ac:dyDescent="0.3">
      <c r="A608" s="2" t="s">
        <v>15</v>
      </c>
      <c r="B608" s="7" t="s">
        <v>8</v>
      </c>
      <c r="C608" s="7" t="s">
        <v>8</v>
      </c>
      <c r="D608" s="6"/>
      <c r="E608" s="7" t="s">
        <v>8</v>
      </c>
      <c r="F608" s="7" t="s">
        <v>8</v>
      </c>
      <c r="G608" s="34"/>
      <c r="H608" s="35"/>
    </row>
    <row r="609" spans="1:8" ht="15.75" thickBot="1" x14ac:dyDescent="0.3">
      <c r="A609" s="2" t="s">
        <v>16</v>
      </c>
      <c r="B609" s="7" t="s">
        <v>8</v>
      </c>
      <c r="C609" s="7" t="s">
        <v>8</v>
      </c>
      <c r="D609" s="11"/>
      <c r="E609" s="6">
        <v>2250</v>
      </c>
      <c r="F609" s="6"/>
      <c r="G609" s="34">
        <v>13500</v>
      </c>
      <c r="H609" s="35"/>
    </row>
    <row r="610" spans="1:8" ht="15.75" thickBot="1" x14ac:dyDescent="0.3">
      <c r="A610" s="3" t="s">
        <v>17</v>
      </c>
      <c r="B610" s="6">
        <f>G610*56%</f>
        <v>2651.6000000000004</v>
      </c>
      <c r="C610" s="7"/>
      <c r="D610" s="6"/>
      <c r="E610" s="6">
        <f>G610-B610</f>
        <v>2083.3999999999996</v>
      </c>
      <c r="F610" s="6"/>
      <c r="G610" s="34">
        <v>4735</v>
      </c>
      <c r="H610" s="35"/>
    </row>
    <row r="611" spans="1:8" ht="15.75" thickBot="1" x14ac:dyDescent="0.3">
      <c r="A611" s="3" t="s">
        <v>18</v>
      </c>
      <c r="B611" s="6"/>
      <c r="C611" s="7"/>
      <c r="D611" s="7"/>
      <c r="E611" s="6"/>
      <c r="F611" s="6"/>
      <c r="G611" s="34"/>
      <c r="H611" s="35"/>
    </row>
    <row r="612" spans="1:8" ht="45.75" thickBot="1" x14ac:dyDescent="0.3">
      <c r="A612" s="2" t="s">
        <v>19</v>
      </c>
      <c r="B612" s="6"/>
      <c r="C612" s="7"/>
      <c r="D612" s="6"/>
      <c r="E612" s="6"/>
      <c r="F612" s="6"/>
      <c r="G612" s="38"/>
      <c r="H612" s="39"/>
    </row>
    <row r="613" spans="1:8" ht="45.75" thickBot="1" x14ac:dyDescent="0.3">
      <c r="A613" s="2" t="s">
        <v>20</v>
      </c>
      <c r="B613" s="6">
        <f>G613*56%</f>
        <v>72.800000000000011</v>
      </c>
      <c r="C613" s="7"/>
      <c r="D613" s="6"/>
      <c r="E613" s="6">
        <f>G613-B613</f>
        <v>57.199999999999989</v>
      </c>
      <c r="F613" s="6"/>
      <c r="G613" s="34">
        <v>130</v>
      </c>
      <c r="H613" s="35"/>
    </row>
    <row r="614" spans="1:8" ht="30.75" thickBot="1" x14ac:dyDescent="0.3">
      <c r="A614" s="2" t="s">
        <v>21</v>
      </c>
      <c r="B614" s="6">
        <f>G614*56%</f>
        <v>5276.88</v>
      </c>
      <c r="C614" s="6"/>
      <c r="D614" s="28">
        <f>G614-B614</f>
        <v>4146.12</v>
      </c>
      <c r="E614" s="7" t="s">
        <v>8</v>
      </c>
      <c r="F614" s="7" t="s">
        <v>8</v>
      </c>
      <c r="G614" s="34">
        <f>570+8695+158</f>
        <v>9423</v>
      </c>
      <c r="H614" s="35"/>
    </row>
    <row r="615" spans="1:8" ht="15.75" thickBot="1" x14ac:dyDescent="0.3">
      <c r="A615" s="3" t="s">
        <v>22</v>
      </c>
      <c r="B615" s="6">
        <f>G615*56%</f>
        <v>267.12</v>
      </c>
      <c r="C615" s="6"/>
      <c r="D615" s="28">
        <f>G615-B615</f>
        <v>209.88</v>
      </c>
      <c r="E615" s="7" t="s">
        <v>8</v>
      </c>
      <c r="F615" s="7" t="s">
        <v>8</v>
      </c>
      <c r="G615" s="34">
        <f>459+18</f>
        <v>477</v>
      </c>
      <c r="H615" s="35"/>
    </row>
    <row r="616" spans="1:8" ht="15.75" thickBot="1" x14ac:dyDescent="0.3">
      <c r="A616" s="3" t="s">
        <v>23</v>
      </c>
      <c r="B616" s="7" t="s">
        <v>8</v>
      </c>
      <c r="C616" s="11"/>
      <c r="D616" s="7" t="s">
        <v>8</v>
      </c>
      <c r="E616" s="7" t="s">
        <v>8</v>
      </c>
      <c r="F616" s="7" t="s">
        <v>8</v>
      </c>
      <c r="G616" s="38"/>
      <c r="H616" s="39"/>
    </row>
    <row r="617" spans="1:8" ht="15.75" thickBot="1" x14ac:dyDescent="0.3">
      <c r="A617" s="3" t="s">
        <v>24</v>
      </c>
      <c r="B617" s="6">
        <f>G617*56%</f>
        <v>0</v>
      </c>
      <c r="C617" s="6"/>
      <c r="D617" s="6"/>
      <c r="E617" s="7" t="s">
        <v>8</v>
      </c>
      <c r="F617" s="7" t="s">
        <v>8</v>
      </c>
      <c r="G617" s="34"/>
      <c r="H617" s="35"/>
    </row>
    <row r="618" spans="1:8" ht="15.75" thickBot="1" x14ac:dyDescent="0.3">
      <c r="A618" s="4" t="s">
        <v>25</v>
      </c>
      <c r="B618" s="6">
        <f>SUM(B602:B617)</f>
        <v>160352.92000000001</v>
      </c>
      <c r="C618" s="6"/>
      <c r="D618" s="6">
        <f>SUM(D602:D617)</f>
        <v>55483.479999999989</v>
      </c>
      <c r="E618" s="6">
        <f>SUM(E602:E617)</f>
        <v>4390.5999999999995</v>
      </c>
      <c r="F618" s="6"/>
      <c r="G618" s="34">
        <f>SUM(G602:H617)</f>
        <v>231477</v>
      </c>
      <c r="H618" s="35"/>
    </row>
    <row r="619" spans="1:8" x14ac:dyDescent="0.25">
      <c r="A619" s="36" t="s">
        <v>26</v>
      </c>
      <c r="B619" s="36"/>
      <c r="C619" s="36"/>
      <c r="D619" s="36"/>
      <c r="E619" s="36"/>
      <c r="F619" s="36"/>
      <c r="G619" s="36"/>
      <c r="H619" s="36"/>
    </row>
    <row r="620" spans="1:8" x14ac:dyDescent="0.25">
      <c r="A620" s="37" t="s">
        <v>27</v>
      </c>
      <c r="B620" s="37"/>
      <c r="C620" s="37"/>
      <c r="D620" s="37"/>
      <c r="E620" s="37"/>
      <c r="F620" s="37"/>
      <c r="G620" s="37"/>
      <c r="H620" s="37"/>
    </row>
    <row r="621" spans="1:8" x14ac:dyDescent="0.25">
      <c r="A621" s="37" t="s">
        <v>28</v>
      </c>
      <c r="B621" s="37"/>
      <c r="C621" s="37"/>
      <c r="D621" s="37"/>
      <c r="E621" s="37"/>
      <c r="F621" s="37"/>
      <c r="G621" s="37"/>
      <c r="H621" s="37"/>
    </row>
    <row r="622" spans="1:8" x14ac:dyDescent="0.25">
      <c r="A622" s="1"/>
      <c r="B622" s="8"/>
      <c r="C622" s="8"/>
      <c r="D622" s="8"/>
      <c r="E622" s="8"/>
      <c r="F622" s="8"/>
      <c r="G622" s="8"/>
      <c r="H622" s="8"/>
    </row>
    <row r="623" spans="1:8" ht="15.75" x14ac:dyDescent="0.25">
      <c r="A623" s="5"/>
    </row>
    <row r="624" spans="1:8" x14ac:dyDescent="0.25">
      <c r="B624" s="12" t="s">
        <v>48</v>
      </c>
      <c r="C624" s="12">
        <v>191681</v>
      </c>
    </row>
    <row r="625" spans="1:8" x14ac:dyDescent="0.25">
      <c r="C625" s="9">
        <f>C624-B618</f>
        <v>31328.079999999987</v>
      </c>
    </row>
    <row r="629" spans="1:8" x14ac:dyDescent="0.25">
      <c r="A629" s="29"/>
      <c r="B629" s="30"/>
      <c r="C629" s="30"/>
      <c r="D629" s="30"/>
      <c r="E629" s="56" t="s">
        <v>29</v>
      </c>
      <c r="F629" s="56"/>
      <c r="G629" s="56"/>
      <c r="H629" s="56"/>
    </row>
    <row r="630" spans="1:8" x14ac:dyDescent="0.25">
      <c r="A630" s="57"/>
      <c r="B630" s="58"/>
      <c r="C630" s="58"/>
      <c r="D630" s="59"/>
      <c r="E630" s="59" t="s">
        <v>0</v>
      </c>
      <c r="F630" s="59"/>
      <c r="G630" s="59"/>
      <c r="H630" s="59"/>
    </row>
    <row r="631" spans="1:8" x14ac:dyDescent="0.25">
      <c r="A631" s="57"/>
      <c r="B631" s="58"/>
      <c r="C631" s="58"/>
      <c r="D631" s="59"/>
      <c r="E631" s="59" t="s">
        <v>1</v>
      </c>
      <c r="F631" s="59"/>
      <c r="G631" s="59"/>
      <c r="H631" s="59"/>
    </row>
    <row r="632" spans="1:8" ht="15.75" thickBot="1" x14ac:dyDescent="0.3">
      <c r="A632" s="42" t="s">
        <v>49</v>
      </c>
      <c r="B632" s="42"/>
      <c r="C632" s="42"/>
      <c r="D632" s="42"/>
      <c r="E632" s="42"/>
      <c r="F632" s="42"/>
      <c r="G632" s="43"/>
      <c r="H632" s="43"/>
    </row>
    <row r="633" spans="1:8" ht="15.75" thickBot="1" x14ac:dyDescent="0.3">
      <c r="A633" s="44" t="s">
        <v>2</v>
      </c>
      <c r="B633" s="47" t="s">
        <v>30</v>
      </c>
      <c r="C633" s="48"/>
      <c r="D633" s="48"/>
      <c r="E633" s="48"/>
      <c r="F633" s="48"/>
      <c r="G633" s="49" t="s">
        <v>3</v>
      </c>
      <c r="H633" s="50"/>
    </row>
    <row r="634" spans="1:8" ht="105.75" thickBot="1" x14ac:dyDescent="0.3">
      <c r="A634" s="45"/>
      <c r="B634" s="40" t="s">
        <v>30</v>
      </c>
      <c r="C634" s="51"/>
      <c r="D634" s="27" t="s">
        <v>32</v>
      </c>
      <c r="E634" s="51" t="s">
        <v>4</v>
      </c>
      <c r="F634" s="41"/>
      <c r="G634" s="52"/>
      <c r="H634" s="53"/>
    </row>
    <row r="635" spans="1:8" ht="150.75" thickBot="1" x14ac:dyDescent="0.3">
      <c r="A635" s="46"/>
      <c r="B635" s="33" t="s">
        <v>36</v>
      </c>
      <c r="C635" s="33" t="s">
        <v>5</v>
      </c>
      <c r="D635" s="33" t="s">
        <v>33</v>
      </c>
      <c r="E635" s="33" t="s">
        <v>34</v>
      </c>
      <c r="F635" s="33" t="s">
        <v>35</v>
      </c>
      <c r="G635" s="54"/>
      <c r="H635" s="55"/>
    </row>
    <row r="636" spans="1:8" ht="15.75" thickBot="1" x14ac:dyDescent="0.3">
      <c r="A636" s="26">
        <v>1</v>
      </c>
      <c r="B636" s="33">
        <v>2</v>
      </c>
      <c r="C636" s="10">
        <v>3</v>
      </c>
      <c r="D636" s="33">
        <v>4</v>
      </c>
      <c r="E636" s="10">
        <v>5</v>
      </c>
      <c r="F636" s="33">
        <v>6</v>
      </c>
      <c r="G636" s="40" t="s">
        <v>37</v>
      </c>
      <c r="H636" s="41"/>
    </row>
    <row r="637" spans="1:8" ht="60.75" thickBot="1" x14ac:dyDescent="0.3">
      <c r="A637" s="2" t="s">
        <v>7</v>
      </c>
      <c r="B637" s="6">
        <f>B638</f>
        <v>122515.04000000001</v>
      </c>
      <c r="C637" s="11"/>
      <c r="D637" s="6">
        <f>D638</f>
        <v>38688.959999999992</v>
      </c>
      <c r="E637" s="7" t="s">
        <v>8</v>
      </c>
      <c r="F637" s="7" t="s">
        <v>8</v>
      </c>
      <c r="G637" s="34">
        <f>166280-3351-1725</f>
        <v>161204</v>
      </c>
      <c r="H637" s="35"/>
    </row>
    <row r="638" spans="1:8" ht="15.75" thickBot="1" x14ac:dyDescent="0.3">
      <c r="A638" s="3" t="s">
        <v>9</v>
      </c>
      <c r="B638" s="6">
        <f>G638*76%</f>
        <v>122515.04000000001</v>
      </c>
      <c r="C638" s="11"/>
      <c r="D638" s="28">
        <f>G638-B638</f>
        <v>38688.959999999992</v>
      </c>
      <c r="E638" s="7" t="s">
        <v>8</v>
      </c>
      <c r="F638" s="7" t="s">
        <v>8</v>
      </c>
      <c r="G638" s="34">
        <f>G637-G639</f>
        <v>161204</v>
      </c>
      <c r="H638" s="35"/>
    </row>
    <row r="639" spans="1:8" ht="15.75" thickBot="1" x14ac:dyDescent="0.3">
      <c r="A639" s="2" t="s">
        <v>10</v>
      </c>
      <c r="B639" s="6">
        <v>0</v>
      </c>
      <c r="C639" s="11"/>
      <c r="D639" s="6">
        <v>0</v>
      </c>
      <c r="E639" s="7" t="s">
        <v>8</v>
      </c>
      <c r="F639" s="7" t="s">
        <v>8</v>
      </c>
      <c r="G639" s="34"/>
      <c r="H639" s="35"/>
    </row>
    <row r="640" spans="1:8" ht="60.75" thickBot="1" x14ac:dyDescent="0.3">
      <c r="A640" s="2" t="s">
        <v>11</v>
      </c>
      <c r="B640" s="6">
        <f>G640*76%</f>
        <v>36337.879999999997</v>
      </c>
      <c r="C640" s="11"/>
      <c r="D640" s="28">
        <f>G640-B640</f>
        <v>11475.120000000003</v>
      </c>
      <c r="E640" s="7" t="s">
        <v>8</v>
      </c>
      <c r="F640" s="7" t="s">
        <v>8</v>
      </c>
      <c r="G640" s="34">
        <f>48283-470</f>
        <v>47813</v>
      </c>
      <c r="H640" s="35"/>
    </row>
    <row r="641" spans="1:9" ht="30.75" thickBot="1" x14ac:dyDescent="0.3">
      <c r="A641" s="2" t="s">
        <v>12</v>
      </c>
      <c r="B641" s="6">
        <f>G641*76%</f>
        <v>4214.96</v>
      </c>
      <c r="C641" s="11"/>
      <c r="D641" s="28">
        <f>G641-B641</f>
        <v>1331.04</v>
      </c>
      <c r="E641" s="7" t="s">
        <v>8</v>
      </c>
      <c r="F641" s="7" t="s">
        <v>8</v>
      </c>
      <c r="G641" s="34">
        <f>470+3351+1725</f>
        <v>5546</v>
      </c>
      <c r="H641" s="35"/>
      <c r="I641" s="9"/>
    </row>
    <row r="642" spans="1:9" ht="15.75" thickBot="1" x14ac:dyDescent="0.3">
      <c r="A642" s="2" t="s">
        <v>13</v>
      </c>
      <c r="B642" s="6">
        <f>G642*56%</f>
        <v>0</v>
      </c>
      <c r="C642" s="6"/>
      <c r="D642" s="28">
        <f>G642-B642</f>
        <v>0</v>
      </c>
      <c r="E642" s="7" t="s">
        <v>8</v>
      </c>
      <c r="F642" s="7" t="s">
        <v>8</v>
      </c>
      <c r="G642" s="34">
        <v>0</v>
      </c>
      <c r="H642" s="35"/>
    </row>
    <row r="643" spans="1:9" ht="30.75" thickBot="1" x14ac:dyDescent="0.3">
      <c r="A643" s="2" t="s">
        <v>14</v>
      </c>
      <c r="B643" s="6">
        <f>G643*56%</f>
        <v>9763.0400000000009</v>
      </c>
      <c r="C643" s="6"/>
      <c r="D643" s="28">
        <f>G643-B643</f>
        <v>7670.9599999999991</v>
      </c>
      <c r="E643" s="7" t="s">
        <v>8</v>
      </c>
      <c r="F643" s="7" t="s">
        <v>8</v>
      </c>
      <c r="G643" s="34">
        <v>17434</v>
      </c>
      <c r="H643" s="35"/>
      <c r="I643" s="9"/>
    </row>
    <row r="644" spans="1:9" ht="45.75" thickBot="1" x14ac:dyDescent="0.3">
      <c r="A644" s="2" t="s">
        <v>15</v>
      </c>
      <c r="B644" s="7" t="s">
        <v>8</v>
      </c>
      <c r="C644" s="7" t="s">
        <v>8</v>
      </c>
      <c r="D644" s="6"/>
      <c r="E644" s="7" t="s">
        <v>8</v>
      </c>
      <c r="F644" s="7" t="s">
        <v>8</v>
      </c>
      <c r="G644" s="34"/>
      <c r="H644" s="35"/>
    </row>
    <row r="645" spans="1:9" ht="15.75" thickBot="1" x14ac:dyDescent="0.3">
      <c r="A645" s="2" t="s">
        <v>16</v>
      </c>
      <c r="B645" s="7" t="s">
        <v>8</v>
      </c>
      <c r="C645" s="7" t="s">
        <v>8</v>
      </c>
      <c r="D645" s="11"/>
      <c r="E645" s="6">
        <v>2250</v>
      </c>
      <c r="F645" s="6"/>
      <c r="G645" s="34">
        <v>15000</v>
      </c>
      <c r="H645" s="35"/>
    </row>
    <row r="646" spans="1:9" ht="15.75" thickBot="1" x14ac:dyDescent="0.3">
      <c r="A646" s="3" t="s">
        <v>17</v>
      </c>
      <c r="B646" s="6">
        <f>G646*56%</f>
        <v>2651.6000000000004</v>
      </c>
      <c r="C646" s="7"/>
      <c r="D646" s="6"/>
      <c r="E646" s="6">
        <f>G646-B646</f>
        <v>2083.3999999999996</v>
      </c>
      <c r="F646" s="6"/>
      <c r="G646" s="34">
        <v>4735</v>
      </c>
      <c r="H646" s="35"/>
    </row>
    <row r="647" spans="1:9" ht="15.75" thickBot="1" x14ac:dyDescent="0.3">
      <c r="A647" s="3" t="s">
        <v>18</v>
      </c>
      <c r="B647" s="6"/>
      <c r="C647" s="7"/>
      <c r="D647" s="7"/>
      <c r="E647" s="6"/>
      <c r="F647" s="6"/>
      <c r="G647" s="34"/>
      <c r="H647" s="35"/>
    </row>
    <row r="648" spans="1:9" ht="45.75" thickBot="1" x14ac:dyDescent="0.3">
      <c r="A648" s="2" t="s">
        <v>19</v>
      </c>
      <c r="B648" s="6"/>
      <c r="C648" s="7"/>
      <c r="D648" s="6"/>
      <c r="E648" s="6"/>
      <c r="F648" s="6"/>
      <c r="G648" s="38"/>
      <c r="H648" s="39"/>
    </row>
    <row r="649" spans="1:9" ht="45.75" thickBot="1" x14ac:dyDescent="0.3">
      <c r="A649" s="2" t="s">
        <v>20</v>
      </c>
      <c r="B649" s="6">
        <f>G649*56%</f>
        <v>101.36000000000001</v>
      </c>
      <c r="C649" s="7"/>
      <c r="D649" s="6"/>
      <c r="E649" s="6">
        <f>G649-B649</f>
        <v>79.639999999999986</v>
      </c>
      <c r="F649" s="6"/>
      <c r="G649" s="34">
        <v>181</v>
      </c>
      <c r="H649" s="35"/>
    </row>
    <row r="650" spans="1:9" ht="30.75" thickBot="1" x14ac:dyDescent="0.3">
      <c r="A650" s="2" t="s">
        <v>21</v>
      </c>
      <c r="B650" s="6">
        <f>G650*56%</f>
        <v>5648.1600000000008</v>
      </c>
      <c r="C650" s="6"/>
      <c r="D650" s="28">
        <f>G650-B650</f>
        <v>4437.8399999999992</v>
      </c>
      <c r="E650" s="7" t="s">
        <v>8</v>
      </c>
      <c r="F650" s="7" t="s">
        <v>8</v>
      </c>
      <c r="G650" s="34">
        <f>570+9358+158</f>
        <v>10086</v>
      </c>
      <c r="H650" s="35"/>
    </row>
    <row r="651" spans="1:9" ht="15.75" thickBot="1" x14ac:dyDescent="0.3">
      <c r="A651" s="3" t="s">
        <v>22</v>
      </c>
      <c r="B651" s="6">
        <f>G651*56%</f>
        <v>288.40000000000003</v>
      </c>
      <c r="C651" s="6"/>
      <c r="D651" s="28">
        <f>G651-B651</f>
        <v>226.59999999999997</v>
      </c>
      <c r="E651" s="7" t="s">
        <v>8</v>
      </c>
      <c r="F651" s="7" t="s">
        <v>8</v>
      </c>
      <c r="G651" s="34">
        <f>18+497</f>
        <v>515</v>
      </c>
      <c r="H651" s="35"/>
    </row>
    <row r="652" spans="1:9" ht="15.75" thickBot="1" x14ac:dyDescent="0.3">
      <c r="A652" s="3" t="s">
        <v>23</v>
      </c>
      <c r="B652" s="7" t="s">
        <v>8</v>
      </c>
      <c r="C652" s="11"/>
      <c r="D652" s="7" t="s">
        <v>8</v>
      </c>
      <c r="E652" s="7" t="s">
        <v>8</v>
      </c>
      <c r="F652" s="7" t="s">
        <v>8</v>
      </c>
      <c r="G652" s="38"/>
      <c r="H652" s="39"/>
    </row>
    <row r="653" spans="1:9" ht="15.75" thickBot="1" x14ac:dyDescent="0.3">
      <c r="A653" s="3" t="s">
        <v>24</v>
      </c>
      <c r="B653" s="6">
        <f>G653*56%</f>
        <v>0</v>
      </c>
      <c r="C653" s="6"/>
      <c r="D653" s="6"/>
      <c r="E653" s="7" t="s">
        <v>8</v>
      </c>
      <c r="F653" s="7" t="s">
        <v>8</v>
      </c>
      <c r="G653" s="34"/>
      <c r="H653" s="35"/>
    </row>
    <row r="654" spans="1:9" ht="15.75" thickBot="1" x14ac:dyDescent="0.3">
      <c r="A654" s="4" t="s">
        <v>25</v>
      </c>
      <c r="B654" s="6">
        <f>SUM(B638:B653)</f>
        <v>181520.44</v>
      </c>
      <c r="C654" s="6"/>
      <c r="D654" s="6">
        <f>SUM(D638:D653)</f>
        <v>63830.51999999999</v>
      </c>
      <c r="E654" s="6">
        <f>SUM(E638:E653)</f>
        <v>4413.04</v>
      </c>
      <c r="F654" s="6"/>
      <c r="G654" s="34">
        <f>SUM(G638:H653)</f>
        <v>262514</v>
      </c>
      <c r="H654" s="35"/>
    </row>
    <row r="655" spans="1:9" x14ac:dyDescent="0.25">
      <c r="A655" s="36" t="s">
        <v>26</v>
      </c>
      <c r="B655" s="36"/>
      <c r="C655" s="36"/>
      <c r="D655" s="36"/>
      <c r="E655" s="36"/>
      <c r="F655" s="36"/>
      <c r="G655" s="36"/>
      <c r="H655" s="36"/>
    </row>
    <row r="656" spans="1:9" x14ac:dyDescent="0.25">
      <c r="A656" s="37" t="s">
        <v>27</v>
      </c>
      <c r="B656" s="37"/>
      <c r="C656" s="37"/>
      <c r="D656" s="37"/>
      <c r="E656" s="37"/>
      <c r="F656" s="37"/>
      <c r="G656" s="37"/>
      <c r="H656" s="37"/>
    </row>
    <row r="657" spans="1:8" x14ac:dyDescent="0.25">
      <c r="A657" s="37" t="s">
        <v>28</v>
      </c>
      <c r="B657" s="37"/>
      <c r="C657" s="37"/>
      <c r="D657" s="37"/>
      <c r="E657" s="37"/>
      <c r="F657" s="37"/>
      <c r="G657" s="37"/>
      <c r="H657" s="37"/>
    </row>
    <row r="658" spans="1:8" x14ac:dyDescent="0.25">
      <c r="A658" s="1"/>
      <c r="B658" s="8"/>
      <c r="C658" s="8"/>
      <c r="D658" s="8"/>
      <c r="E658" s="8"/>
      <c r="F658" s="8"/>
      <c r="G658" s="8"/>
      <c r="H658" s="8"/>
    </row>
    <row r="659" spans="1:8" ht="15.75" x14ac:dyDescent="0.25">
      <c r="A659" s="5"/>
    </row>
    <row r="660" spans="1:8" x14ac:dyDescent="0.25">
      <c r="B660" s="12" t="s">
        <v>50</v>
      </c>
      <c r="C660" s="12">
        <v>211326</v>
      </c>
    </row>
    <row r="661" spans="1:8" x14ac:dyDescent="0.25">
      <c r="C661" s="9">
        <f>C660-B654</f>
        <v>29805.559999999998</v>
      </c>
    </row>
    <row r="668" spans="1:8" x14ac:dyDescent="0.25">
      <c r="A668" s="29"/>
      <c r="B668" s="30"/>
      <c r="C668" s="30"/>
      <c r="D668" s="30"/>
      <c r="E668" s="56" t="s">
        <v>29</v>
      </c>
      <c r="F668" s="56"/>
      <c r="G668" s="56"/>
      <c r="H668" s="56"/>
    </row>
    <row r="669" spans="1:8" x14ac:dyDescent="0.25">
      <c r="A669" s="57"/>
      <c r="B669" s="58"/>
      <c r="C669" s="58"/>
      <c r="D669" s="59"/>
      <c r="E669" s="59" t="s">
        <v>0</v>
      </c>
      <c r="F669" s="59"/>
      <c r="G669" s="59"/>
      <c r="H669" s="59"/>
    </row>
    <row r="670" spans="1:8" x14ac:dyDescent="0.25">
      <c r="A670" s="57"/>
      <c r="B670" s="58"/>
      <c r="C670" s="58"/>
      <c r="D670" s="59"/>
      <c r="E670" s="59" t="s">
        <v>1</v>
      </c>
      <c r="F670" s="59"/>
      <c r="G670" s="59"/>
      <c r="H670" s="59"/>
    </row>
    <row r="671" spans="1:8" ht="15.75" thickBot="1" x14ac:dyDescent="0.3">
      <c r="A671" s="42" t="s">
        <v>43</v>
      </c>
      <c r="B671" s="42"/>
      <c r="C671" s="42"/>
      <c r="D671" s="42"/>
      <c r="E671" s="42"/>
      <c r="F671" s="42"/>
      <c r="G671" s="43"/>
      <c r="H671" s="43"/>
    </row>
    <row r="672" spans="1:8" ht="15.75" thickBot="1" x14ac:dyDescent="0.3">
      <c r="A672" s="44" t="s">
        <v>2</v>
      </c>
      <c r="B672" s="47" t="s">
        <v>30</v>
      </c>
      <c r="C672" s="48"/>
      <c r="D672" s="48"/>
      <c r="E672" s="48"/>
      <c r="F672" s="48"/>
      <c r="G672" s="49" t="s">
        <v>3</v>
      </c>
      <c r="H672" s="50"/>
    </row>
    <row r="673" spans="1:9" ht="105.75" thickBot="1" x14ac:dyDescent="0.3">
      <c r="A673" s="45"/>
      <c r="B673" s="40" t="s">
        <v>30</v>
      </c>
      <c r="C673" s="51"/>
      <c r="D673" s="27" t="s">
        <v>32</v>
      </c>
      <c r="E673" s="51" t="s">
        <v>4</v>
      </c>
      <c r="F673" s="41"/>
      <c r="G673" s="52"/>
      <c r="H673" s="53"/>
    </row>
    <row r="674" spans="1:9" ht="150.75" thickBot="1" x14ac:dyDescent="0.3">
      <c r="A674" s="46"/>
      <c r="B674" s="33" t="s">
        <v>36</v>
      </c>
      <c r="C674" s="33" t="s">
        <v>5</v>
      </c>
      <c r="D674" s="33" t="s">
        <v>33</v>
      </c>
      <c r="E674" s="33" t="s">
        <v>34</v>
      </c>
      <c r="F674" s="33" t="s">
        <v>35</v>
      </c>
      <c r="G674" s="54"/>
      <c r="H674" s="55"/>
    </row>
    <row r="675" spans="1:9" ht="15.75" thickBot="1" x14ac:dyDescent="0.3">
      <c r="A675" s="26">
        <v>1</v>
      </c>
      <c r="B675" s="33">
        <v>2</v>
      </c>
      <c r="C675" s="10">
        <v>3</v>
      </c>
      <c r="D675" s="33">
        <v>4</v>
      </c>
      <c r="E675" s="10">
        <v>5</v>
      </c>
      <c r="F675" s="33">
        <v>6</v>
      </c>
      <c r="G675" s="40" t="s">
        <v>37</v>
      </c>
      <c r="H675" s="41"/>
    </row>
    <row r="676" spans="1:9" ht="60.75" thickBot="1" x14ac:dyDescent="0.3">
      <c r="A676" s="2" t="s">
        <v>7</v>
      </c>
      <c r="B676" s="6">
        <f>B677</f>
        <v>135609.84</v>
      </c>
      <c r="C676" s="11"/>
      <c r="D676" s="6">
        <f>D677</f>
        <v>42824.160000000003</v>
      </c>
      <c r="E676" s="7" t="s">
        <v>8</v>
      </c>
      <c r="F676" s="7" t="s">
        <v>8</v>
      </c>
      <c r="G676" s="34">
        <f>183317-3309-1725+151</f>
        <v>178434</v>
      </c>
      <c r="H676" s="35"/>
    </row>
    <row r="677" spans="1:9" ht="15.75" thickBot="1" x14ac:dyDescent="0.3">
      <c r="A677" s="3" t="s">
        <v>9</v>
      </c>
      <c r="B677" s="6">
        <f>G677*76%</f>
        <v>135609.84</v>
      </c>
      <c r="C677" s="11"/>
      <c r="D677" s="28">
        <f>G677-B677</f>
        <v>42824.160000000003</v>
      </c>
      <c r="E677" s="7" t="s">
        <v>8</v>
      </c>
      <c r="F677" s="7" t="s">
        <v>8</v>
      </c>
      <c r="G677" s="34">
        <f>G676-G678</f>
        <v>178434</v>
      </c>
      <c r="H677" s="35"/>
    </row>
    <row r="678" spans="1:9" ht="15.75" thickBot="1" x14ac:dyDescent="0.3">
      <c r="A678" s="2" t="s">
        <v>10</v>
      </c>
      <c r="B678" s="6">
        <v>0</v>
      </c>
      <c r="C678" s="11"/>
      <c r="D678" s="6">
        <v>0</v>
      </c>
      <c r="E678" s="7" t="s">
        <v>8</v>
      </c>
      <c r="F678" s="7" t="s">
        <v>8</v>
      </c>
      <c r="G678" s="34"/>
      <c r="H678" s="35"/>
    </row>
    <row r="679" spans="1:9" ht="60.75" thickBot="1" x14ac:dyDescent="0.3">
      <c r="A679" s="2" t="s">
        <v>11</v>
      </c>
      <c r="B679" s="6">
        <f>G679*76%</f>
        <v>40462.400000000001</v>
      </c>
      <c r="C679" s="11"/>
      <c r="D679" s="28">
        <f>G679-B679</f>
        <v>12777.599999999999</v>
      </c>
      <c r="E679" s="7" t="s">
        <v>8</v>
      </c>
      <c r="F679" s="7" t="s">
        <v>8</v>
      </c>
      <c r="G679" s="34">
        <f>53958-525-42-151</f>
        <v>53240</v>
      </c>
      <c r="H679" s="35"/>
    </row>
    <row r="680" spans="1:9" ht="30.75" thickBot="1" x14ac:dyDescent="0.3">
      <c r="A680" s="2" t="s">
        <v>12</v>
      </c>
      <c r="B680" s="6">
        <f>G680*76%</f>
        <v>4256.76</v>
      </c>
      <c r="C680" s="11"/>
      <c r="D680" s="28">
        <f>G680-B680</f>
        <v>1344.2399999999998</v>
      </c>
      <c r="E680" s="7" t="s">
        <v>8</v>
      </c>
      <c r="F680" s="7" t="s">
        <v>8</v>
      </c>
      <c r="G680" s="34">
        <f>1725+3309+525+42</f>
        <v>5601</v>
      </c>
      <c r="H680" s="35"/>
      <c r="I680" s="9"/>
    </row>
    <row r="681" spans="1:9" ht="15.75" thickBot="1" x14ac:dyDescent="0.3">
      <c r="A681" s="2" t="s">
        <v>13</v>
      </c>
      <c r="B681" s="6">
        <f>G681*56%</f>
        <v>0</v>
      </c>
      <c r="C681" s="6"/>
      <c r="D681" s="28">
        <f>G681-B681</f>
        <v>0</v>
      </c>
      <c r="E681" s="7" t="s">
        <v>8</v>
      </c>
      <c r="F681" s="7" t="s">
        <v>8</v>
      </c>
      <c r="G681" s="34">
        <v>0</v>
      </c>
      <c r="H681" s="35"/>
      <c r="I681" s="9"/>
    </row>
    <row r="682" spans="1:9" ht="30.75" thickBot="1" x14ac:dyDescent="0.3">
      <c r="A682" s="2" t="s">
        <v>14</v>
      </c>
      <c r="B682" s="6">
        <f>G682*56%</f>
        <v>11225.76</v>
      </c>
      <c r="C682" s="6"/>
      <c r="D682" s="28">
        <f>G682-B682</f>
        <v>8820.24</v>
      </c>
      <c r="E682" s="7" t="s">
        <v>8</v>
      </c>
      <c r="F682" s="7" t="s">
        <v>8</v>
      </c>
      <c r="G682" s="34">
        <v>20046</v>
      </c>
      <c r="H682" s="35"/>
    </row>
    <row r="683" spans="1:9" ht="45.75" thickBot="1" x14ac:dyDescent="0.3">
      <c r="A683" s="2" t="s">
        <v>15</v>
      </c>
      <c r="B683" s="7" t="s">
        <v>8</v>
      </c>
      <c r="C683" s="7" t="s">
        <v>8</v>
      </c>
      <c r="D683" s="6"/>
      <c r="E683" s="7" t="s">
        <v>8</v>
      </c>
      <c r="F683" s="7" t="s">
        <v>8</v>
      </c>
      <c r="G683" s="34"/>
      <c r="H683" s="35"/>
    </row>
    <row r="684" spans="1:9" ht="15.75" thickBot="1" x14ac:dyDescent="0.3">
      <c r="A684" s="2" t="s">
        <v>16</v>
      </c>
      <c r="B684" s="7" t="s">
        <v>8</v>
      </c>
      <c r="C684" s="7" t="s">
        <v>8</v>
      </c>
      <c r="D684" s="11"/>
      <c r="E684" s="6">
        <v>5250</v>
      </c>
      <c r="F684" s="6"/>
      <c r="G684" s="34">
        <v>18000</v>
      </c>
      <c r="H684" s="35"/>
    </row>
    <row r="685" spans="1:9" ht="15.75" thickBot="1" x14ac:dyDescent="0.3">
      <c r="A685" s="3" t="s">
        <v>17</v>
      </c>
      <c r="B685" s="6">
        <f>G685*56%</f>
        <v>2651.6000000000004</v>
      </c>
      <c r="C685" s="7"/>
      <c r="D685" s="6"/>
      <c r="E685" s="6">
        <f>G685-B685</f>
        <v>2083.3999999999996</v>
      </c>
      <c r="F685" s="6"/>
      <c r="G685" s="34">
        <v>4735</v>
      </c>
      <c r="H685" s="35"/>
    </row>
    <row r="686" spans="1:9" ht="15.75" thickBot="1" x14ac:dyDescent="0.3">
      <c r="A686" s="3" t="s">
        <v>18</v>
      </c>
      <c r="B686" s="6"/>
      <c r="C686" s="7"/>
      <c r="D686" s="7"/>
      <c r="E686" s="6"/>
      <c r="F686" s="6"/>
      <c r="G686" s="34"/>
      <c r="H686" s="35"/>
    </row>
    <row r="687" spans="1:9" ht="45.75" thickBot="1" x14ac:dyDescent="0.3">
      <c r="A687" s="2" t="s">
        <v>19</v>
      </c>
      <c r="B687" s="6"/>
      <c r="C687" s="7"/>
      <c r="D687" s="6"/>
      <c r="E687" s="6"/>
      <c r="F687" s="6"/>
      <c r="G687" s="38"/>
      <c r="H687" s="39"/>
    </row>
    <row r="688" spans="1:9" ht="45.75" thickBot="1" x14ac:dyDescent="0.3">
      <c r="A688" s="2" t="s">
        <v>20</v>
      </c>
      <c r="B688" s="6">
        <f>G688*56%</f>
        <v>129.92000000000002</v>
      </c>
      <c r="C688" s="7"/>
      <c r="D688" s="6"/>
      <c r="E688" s="6">
        <f>G688-B688</f>
        <v>102.07999999999998</v>
      </c>
      <c r="F688" s="6"/>
      <c r="G688" s="34">
        <v>232</v>
      </c>
      <c r="H688" s="35"/>
    </row>
    <row r="689" spans="1:8" ht="30.75" thickBot="1" x14ac:dyDescent="0.3">
      <c r="A689" s="2" t="s">
        <v>21</v>
      </c>
      <c r="B689" s="6">
        <f>G689*56%</f>
        <v>7396.4800000000005</v>
      </c>
      <c r="C689" s="6"/>
      <c r="D689" s="28">
        <f>G689-B689</f>
        <v>5811.5199999999995</v>
      </c>
      <c r="E689" s="7" t="s">
        <v>8</v>
      </c>
      <c r="F689" s="7" t="s">
        <v>8</v>
      </c>
      <c r="G689" s="34">
        <f>570+11868+613+157</f>
        <v>13208</v>
      </c>
      <c r="H689" s="35"/>
    </row>
    <row r="690" spans="1:8" ht="15.75" thickBot="1" x14ac:dyDescent="0.3">
      <c r="A690" s="3" t="s">
        <v>22</v>
      </c>
      <c r="B690" s="6">
        <f>G690*56%</f>
        <v>300.72000000000003</v>
      </c>
      <c r="C690" s="6"/>
      <c r="D690" s="28">
        <f>G690-B690</f>
        <v>236.27999999999997</v>
      </c>
      <c r="E690" s="7" t="s">
        <v>8</v>
      </c>
      <c r="F690" s="7" t="s">
        <v>8</v>
      </c>
      <c r="G690" s="34">
        <f>519+18</f>
        <v>537</v>
      </c>
      <c r="H690" s="35"/>
    </row>
    <row r="691" spans="1:8" ht="15.75" thickBot="1" x14ac:dyDescent="0.3">
      <c r="A691" s="3" t="s">
        <v>23</v>
      </c>
      <c r="B691" s="7" t="s">
        <v>8</v>
      </c>
      <c r="C691" s="11"/>
      <c r="D691" s="7" t="s">
        <v>8</v>
      </c>
      <c r="E691" s="7" t="s">
        <v>8</v>
      </c>
      <c r="F691" s="7" t="s">
        <v>8</v>
      </c>
      <c r="G691" s="38"/>
      <c r="H691" s="39"/>
    </row>
    <row r="692" spans="1:8" ht="15.75" thickBot="1" x14ac:dyDescent="0.3">
      <c r="A692" s="3" t="s">
        <v>24</v>
      </c>
      <c r="B692" s="6">
        <f>G692*56%</f>
        <v>0</v>
      </c>
      <c r="C692" s="6"/>
      <c r="D692" s="6"/>
      <c r="E692" s="7" t="s">
        <v>8</v>
      </c>
      <c r="F692" s="7" t="s">
        <v>8</v>
      </c>
      <c r="G692" s="34"/>
      <c r="H692" s="35"/>
    </row>
    <row r="693" spans="1:8" ht="15.75" thickBot="1" x14ac:dyDescent="0.3">
      <c r="A693" s="4" t="s">
        <v>25</v>
      </c>
      <c r="B693" s="6">
        <f>SUM(B677:B692)</f>
        <v>202033.48000000004</v>
      </c>
      <c r="C693" s="6"/>
      <c r="D693" s="6">
        <f>SUM(D677:D692)</f>
        <v>71814.040000000008</v>
      </c>
      <c r="E693" s="6">
        <f>SUM(E677:E692)</f>
        <v>7435.48</v>
      </c>
      <c r="F693" s="6"/>
      <c r="G693" s="34">
        <f>SUM(G677:H692)</f>
        <v>294033</v>
      </c>
      <c r="H693" s="35"/>
    </row>
    <row r="694" spans="1:8" x14ac:dyDescent="0.25">
      <c r="A694" s="36" t="s">
        <v>26</v>
      </c>
      <c r="B694" s="36"/>
      <c r="C694" s="36"/>
      <c r="D694" s="36"/>
      <c r="E694" s="36"/>
      <c r="F694" s="36"/>
      <c r="G694" s="36"/>
      <c r="H694" s="36"/>
    </row>
    <row r="695" spans="1:8" x14ac:dyDescent="0.25">
      <c r="A695" s="37" t="s">
        <v>27</v>
      </c>
      <c r="B695" s="37"/>
      <c r="C695" s="37"/>
      <c r="D695" s="37"/>
      <c r="E695" s="37"/>
      <c r="F695" s="37"/>
      <c r="G695" s="37"/>
      <c r="H695" s="37"/>
    </row>
    <row r="696" spans="1:8" x14ac:dyDescent="0.25">
      <c r="A696" s="37" t="s">
        <v>28</v>
      </c>
      <c r="B696" s="37"/>
      <c r="C696" s="37"/>
      <c r="D696" s="37"/>
      <c r="E696" s="37"/>
      <c r="F696" s="37"/>
      <c r="G696" s="37"/>
      <c r="H696" s="37"/>
    </row>
    <row r="697" spans="1:8" x14ac:dyDescent="0.25">
      <c r="A697" s="1"/>
      <c r="B697" s="8"/>
      <c r="C697" s="8"/>
      <c r="D697" s="8"/>
      <c r="E697" s="8"/>
      <c r="F697" s="8"/>
      <c r="G697" s="8"/>
      <c r="H697" s="8"/>
    </row>
    <row r="698" spans="1:8" ht="15.75" x14ac:dyDescent="0.25">
      <c r="A698" s="5"/>
    </row>
    <row r="699" spans="1:8" x14ac:dyDescent="0.25">
      <c r="B699" s="12" t="s">
        <v>42</v>
      </c>
      <c r="C699" s="12">
        <v>234022</v>
      </c>
    </row>
    <row r="700" spans="1:8" x14ac:dyDescent="0.25">
      <c r="C700" s="9">
        <f>C699-B693</f>
        <v>31988.51999999996</v>
      </c>
    </row>
  </sheetData>
  <mergeCells count="703">
    <mergeCell ref="E3:H3"/>
    <mergeCell ref="A4:A5"/>
    <mergeCell ref="B4:B5"/>
    <mergeCell ref="C4:C5"/>
    <mergeCell ref="D4:D5"/>
    <mergeCell ref="E4:H4"/>
    <mergeCell ref="E5:H5"/>
    <mergeCell ref="G10:H10"/>
    <mergeCell ref="G11:H11"/>
    <mergeCell ref="G12:H12"/>
    <mergeCell ref="G13:H13"/>
    <mergeCell ref="G14:H14"/>
    <mergeCell ref="G15:H15"/>
    <mergeCell ref="A6:H6"/>
    <mergeCell ref="A7:A9"/>
    <mergeCell ref="B7:F7"/>
    <mergeCell ref="G7:H7"/>
    <mergeCell ref="B8:C8"/>
    <mergeCell ref="E8:F8"/>
    <mergeCell ref="G8:H8"/>
    <mergeCell ref="G9:H9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28:H28"/>
    <mergeCell ref="A29:H29"/>
    <mergeCell ref="A30:H30"/>
    <mergeCell ref="A31:H31"/>
    <mergeCell ref="E41:H41"/>
    <mergeCell ref="A42:A43"/>
    <mergeCell ref="B42:B43"/>
    <mergeCell ref="C42:C43"/>
    <mergeCell ref="D42:D43"/>
    <mergeCell ref="E42:H42"/>
    <mergeCell ref="G48:H48"/>
    <mergeCell ref="G49:H49"/>
    <mergeCell ref="G50:H50"/>
    <mergeCell ref="G51:H51"/>
    <mergeCell ref="G52:H52"/>
    <mergeCell ref="G53:H53"/>
    <mergeCell ref="E43:H43"/>
    <mergeCell ref="A44:H44"/>
    <mergeCell ref="A45:A47"/>
    <mergeCell ref="B45:F45"/>
    <mergeCell ref="G45:H45"/>
    <mergeCell ref="B46:C46"/>
    <mergeCell ref="E46:F46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66:H66"/>
    <mergeCell ref="A67:H67"/>
    <mergeCell ref="A68:H68"/>
    <mergeCell ref="A69:H69"/>
    <mergeCell ref="E77:H77"/>
    <mergeCell ref="A78:A79"/>
    <mergeCell ref="B78:B79"/>
    <mergeCell ref="C78:C79"/>
    <mergeCell ref="D78:D79"/>
    <mergeCell ref="E78:H78"/>
    <mergeCell ref="G84:H84"/>
    <mergeCell ref="G85:H85"/>
    <mergeCell ref="G86:H86"/>
    <mergeCell ref="G87:H87"/>
    <mergeCell ref="G88:H88"/>
    <mergeCell ref="G89:H89"/>
    <mergeCell ref="E79:H79"/>
    <mergeCell ref="A80:H80"/>
    <mergeCell ref="A81:A83"/>
    <mergeCell ref="B81:F81"/>
    <mergeCell ref="G81:H81"/>
    <mergeCell ref="B82:C82"/>
    <mergeCell ref="E82:F82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2:H102"/>
    <mergeCell ref="A103:H103"/>
    <mergeCell ref="A104:H104"/>
    <mergeCell ref="A105:H105"/>
    <mergeCell ref="E116:H116"/>
    <mergeCell ref="A117:A118"/>
    <mergeCell ref="B117:B118"/>
    <mergeCell ref="C117:C118"/>
    <mergeCell ref="D117:D118"/>
    <mergeCell ref="E117:H117"/>
    <mergeCell ref="G123:H123"/>
    <mergeCell ref="G124:H124"/>
    <mergeCell ref="G125:H125"/>
    <mergeCell ref="G126:H126"/>
    <mergeCell ref="G127:H127"/>
    <mergeCell ref="G128:H128"/>
    <mergeCell ref="E118:H118"/>
    <mergeCell ref="A119:H119"/>
    <mergeCell ref="A120:A122"/>
    <mergeCell ref="B120:F120"/>
    <mergeCell ref="G120:H120"/>
    <mergeCell ref="B121:C121"/>
    <mergeCell ref="E121:F121"/>
    <mergeCell ref="G121:H121"/>
    <mergeCell ref="G122:H122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41:H141"/>
    <mergeCell ref="A142:H142"/>
    <mergeCell ref="A143:H143"/>
    <mergeCell ref="A144:H144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91:H191"/>
    <mergeCell ref="A192:A193"/>
    <mergeCell ref="B192:B193"/>
    <mergeCell ref="C192:C193"/>
    <mergeCell ref="D192:D193"/>
    <mergeCell ref="E192:H192"/>
    <mergeCell ref="G198:H198"/>
    <mergeCell ref="G199:H199"/>
    <mergeCell ref="G200:H200"/>
    <mergeCell ref="G201:H201"/>
    <mergeCell ref="G202:H202"/>
    <mergeCell ref="G203:H203"/>
    <mergeCell ref="E193:H193"/>
    <mergeCell ref="A194:H194"/>
    <mergeCell ref="A195:A197"/>
    <mergeCell ref="B195:F195"/>
    <mergeCell ref="G195:H195"/>
    <mergeCell ref="B196:C196"/>
    <mergeCell ref="E196:F196"/>
    <mergeCell ref="G196:H196"/>
    <mergeCell ref="G197:H197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16:H216"/>
    <mergeCell ref="A217:H217"/>
    <mergeCell ref="A218:H218"/>
    <mergeCell ref="A219:H219"/>
    <mergeCell ref="E228:H228"/>
    <mergeCell ref="A229:A230"/>
    <mergeCell ref="B229:B230"/>
    <mergeCell ref="C229:C230"/>
    <mergeCell ref="D229:D230"/>
    <mergeCell ref="E229:H229"/>
    <mergeCell ref="G235:H235"/>
    <mergeCell ref="G236:H236"/>
    <mergeCell ref="G237:H237"/>
    <mergeCell ref="G238:H238"/>
    <mergeCell ref="G239:H239"/>
    <mergeCell ref="G240:H240"/>
    <mergeCell ref="E230:H230"/>
    <mergeCell ref="A231:H231"/>
    <mergeCell ref="A232:A234"/>
    <mergeCell ref="B232:F232"/>
    <mergeCell ref="G232:H232"/>
    <mergeCell ref="B233:C233"/>
    <mergeCell ref="E233:F233"/>
    <mergeCell ref="G233:H233"/>
    <mergeCell ref="G234:H234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3:H253"/>
    <mergeCell ref="A254:H254"/>
    <mergeCell ref="A255:H255"/>
    <mergeCell ref="A256:H256"/>
    <mergeCell ref="E265:H265"/>
    <mergeCell ref="A266:A267"/>
    <mergeCell ref="B266:B267"/>
    <mergeCell ref="C266:C267"/>
    <mergeCell ref="D266:D267"/>
    <mergeCell ref="E266:H266"/>
    <mergeCell ref="G272:H272"/>
    <mergeCell ref="G273:H273"/>
    <mergeCell ref="G274:H274"/>
    <mergeCell ref="G275:H275"/>
    <mergeCell ref="G276:H276"/>
    <mergeCell ref="G277:H277"/>
    <mergeCell ref="E267:H267"/>
    <mergeCell ref="A268:H268"/>
    <mergeCell ref="A269:A271"/>
    <mergeCell ref="B269:F269"/>
    <mergeCell ref="G269:H269"/>
    <mergeCell ref="B270:C270"/>
    <mergeCell ref="E270:F270"/>
    <mergeCell ref="G270:H270"/>
    <mergeCell ref="G271:H271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90:H290"/>
    <mergeCell ref="A291:H291"/>
    <mergeCell ref="A292:H292"/>
    <mergeCell ref="A293:H293"/>
    <mergeCell ref="E299:H299"/>
    <mergeCell ref="A300:A301"/>
    <mergeCell ref="B300:B301"/>
    <mergeCell ref="C300:C301"/>
    <mergeCell ref="D300:D301"/>
    <mergeCell ref="E300:H300"/>
    <mergeCell ref="G306:H306"/>
    <mergeCell ref="G307:H307"/>
    <mergeCell ref="G308:H308"/>
    <mergeCell ref="G309:H309"/>
    <mergeCell ref="G310:H310"/>
    <mergeCell ref="G311:H311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24:H324"/>
    <mergeCell ref="A325:H325"/>
    <mergeCell ref="A326:H326"/>
    <mergeCell ref="A327:H327"/>
    <mergeCell ref="E337:H337"/>
    <mergeCell ref="A338:A339"/>
    <mergeCell ref="B338:B339"/>
    <mergeCell ref="C338:C339"/>
    <mergeCell ref="D338:D339"/>
    <mergeCell ref="E338:H338"/>
    <mergeCell ref="G344:H344"/>
    <mergeCell ref="G345:H345"/>
    <mergeCell ref="G346:H346"/>
    <mergeCell ref="G347:H347"/>
    <mergeCell ref="G348:H348"/>
    <mergeCell ref="G349:H349"/>
    <mergeCell ref="E339:H339"/>
    <mergeCell ref="A340:H340"/>
    <mergeCell ref="A341:A343"/>
    <mergeCell ref="B341:F341"/>
    <mergeCell ref="G341:H341"/>
    <mergeCell ref="B342:C342"/>
    <mergeCell ref="E342:F342"/>
    <mergeCell ref="G342:H342"/>
    <mergeCell ref="G343:H343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62:H362"/>
    <mergeCell ref="A363:H363"/>
    <mergeCell ref="A364:H364"/>
    <mergeCell ref="A365:H365"/>
    <mergeCell ref="E373:H373"/>
    <mergeCell ref="A374:A375"/>
    <mergeCell ref="B374:B375"/>
    <mergeCell ref="C374:C375"/>
    <mergeCell ref="D374:D375"/>
    <mergeCell ref="E374:H374"/>
    <mergeCell ref="G380:H380"/>
    <mergeCell ref="G381:H381"/>
    <mergeCell ref="G382:H382"/>
    <mergeCell ref="G383:H383"/>
    <mergeCell ref="G384:H384"/>
    <mergeCell ref="G385:H385"/>
    <mergeCell ref="E375:H375"/>
    <mergeCell ref="A376:H376"/>
    <mergeCell ref="A377:A379"/>
    <mergeCell ref="B377:F377"/>
    <mergeCell ref="G377:H377"/>
    <mergeCell ref="B378:C378"/>
    <mergeCell ref="E378:F378"/>
    <mergeCell ref="G378:H378"/>
    <mergeCell ref="G379:H379"/>
    <mergeCell ref="G392:H392"/>
    <mergeCell ref="G393:H393"/>
    <mergeCell ref="G394:H394"/>
    <mergeCell ref="G395:H395"/>
    <mergeCell ref="G396:H396"/>
    <mergeCell ref="G397:H397"/>
    <mergeCell ref="G386:H386"/>
    <mergeCell ref="G387:H387"/>
    <mergeCell ref="G388:H388"/>
    <mergeCell ref="G389:H389"/>
    <mergeCell ref="G390:H390"/>
    <mergeCell ref="G391:H391"/>
    <mergeCell ref="G398:H398"/>
    <mergeCell ref="A399:H399"/>
    <mergeCell ref="A400:H400"/>
    <mergeCell ref="A401:H401"/>
    <mergeCell ref="E411:H411"/>
    <mergeCell ref="A412:A413"/>
    <mergeCell ref="B412:B413"/>
    <mergeCell ref="C412:C413"/>
    <mergeCell ref="D412:D413"/>
    <mergeCell ref="E412:H412"/>
    <mergeCell ref="G421:H421"/>
    <mergeCell ref="G422:H422"/>
    <mergeCell ref="G423:H423"/>
    <mergeCell ref="G424:H424"/>
    <mergeCell ref="G425:H425"/>
    <mergeCell ref="G426:H426"/>
    <mergeCell ref="E413:H413"/>
    <mergeCell ref="A414:H414"/>
    <mergeCell ref="A415:H417"/>
    <mergeCell ref="A418:H418"/>
    <mergeCell ref="A419:A421"/>
    <mergeCell ref="B419:F419"/>
    <mergeCell ref="G419:H419"/>
    <mergeCell ref="B420:C420"/>
    <mergeCell ref="E420:F420"/>
    <mergeCell ref="G420:H420"/>
    <mergeCell ref="G433:H433"/>
    <mergeCell ref="G434:H434"/>
    <mergeCell ref="G435:H435"/>
    <mergeCell ref="G436:H436"/>
    <mergeCell ref="G437:H437"/>
    <mergeCell ref="G438:H438"/>
    <mergeCell ref="G427:H427"/>
    <mergeCell ref="G428:H428"/>
    <mergeCell ref="G429:H429"/>
    <mergeCell ref="G430:H430"/>
    <mergeCell ref="G431:H431"/>
    <mergeCell ref="G432:H432"/>
    <mergeCell ref="G439:H439"/>
    <mergeCell ref="G440:H440"/>
    <mergeCell ref="A441:H444"/>
    <mergeCell ref="E454:H454"/>
    <mergeCell ref="A455:A456"/>
    <mergeCell ref="B455:B456"/>
    <mergeCell ref="C455:C456"/>
    <mergeCell ref="D455:D456"/>
    <mergeCell ref="E455:H455"/>
    <mergeCell ref="E456:H456"/>
    <mergeCell ref="G461:H461"/>
    <mergeCell ref="G462:H462"/>
    <mergeCell ref="G463:H463"/>
    <mergeCell ref="G464:H464"/>
    <mergeCell ref="G465:H465"/>
    <mergeCell ref="G466:H466"/>
    <mergeCell ref="A457:H457"/>
    <mergeCell ref="A458:A460"/>
    <mergeCell ref="B458:F458"/>
    <mergeCell ref="G458:H458"/>
    <mergeCell ref="B459:C459"/>
    <mergeCell ref="E459:F459"/>
    <mergeCell ref="G459:H459"/>
    <mergeCell ref="G460:H460"/>
    <mergeCell ref="G473:H473"/>
    <mergeCell ref="G474:H474"/>
    <mergeCell ref="G475:H475"/>
    <mergeCell ref="G476:H476"/>
    <mergeCell ref="G477:H477"/>
    <mergeCell ref="G478:H478"/>
    <mergeCell ref="G467:H467"/>
    <mergeCell ref="G468:H468"/>
    <mergeCell ref="G469:H469"/>
    <mergeCell ref="G470:H470"/>
    <mergeCell ref="G471:H471"/>
    <mergeCell ref="G472:H472"/>
    <mergeCell ref="G479:H479"/>
    <mergeCell ref="A480:H480"/>
    <mergeCell ref="A481:H481"/>
    <mergeCell ref="A482:H482"/>
    <mergeCell ref="E488:H488"/>
    <mergeCell ref="A489:A490"/>
    <mergeCell ref="B489:B490"/>
    <mergeCell ref="C489:C490"/>
    <mergeCell ref="D489:D490"/>
    <mergeCell ref="E489:H489"/>
    <mergeCell ref="G495:H495"/>
    <mergeCell ref="G496:H496"/>
    <mergeCell ref="G497:H497"/>
    <mergeCell ref="G498:H498"/>
    <mergeCell ref="G499:H499"/>
    <mergeCell ref="G500:H500"/>
    <mergeCell ref="E490:H490"/>
    <mergeCell ref="A491:H491"/>
    <mergeCell ref="A492:A494"/>
    <mergeCell ref="B492:F492"/>
    <mergeCell ref="G492:H492"/>
    <mergeCell ref="B493:C493"/>
    <mergeCell ref="E493:F493"/>
    <mergeCell ref="G493:H493"/>
    <mergeCell ref="G494:H494"/>
    <mergeCell ref="G507:H507"/>
    <mergeCell ref="G508:H508"/>
    <mergeCell ref="G509:H509"/>
    <mergeCell ref="G510:H510"/>
    <mergeCell ref="G511:H511"/>
    <mergeCell ref="G512:H512"/>
    <mergeCell ref="G501:H501"/>
    <mergeCell ref="G502:H502"/>
    <mergeCell ref="G503:H503"/>
    <mergeCell ref="G504:H504"/>
    <mergeCell ref="G505:H505"/>
    <mergeCell ref="G506:H506"/>
    <mergeCell ref="G513:H513"/>
    <mergeCell ref="A514:H514"/>
    <mergeCell ref="A515:H515"/>
    <mergeCell ref="A516:H516"/>
    <mergeCell ref="E523:H523"/>
    <mergeCell ref="A524:A525"/>
    <mergeCell ref="B524:B525"/>
    <mergeCell ref="C524:C525"/>
    <mergeCell ref="D524:D525"/>
    <mergeCell ref="E524:H524"/>
    <mergeCell ref="G530:H530"/>
    <mergeCell ref="G531:H531"/>
    <mergeCell ref="G532:H532"/>
    <mergeCell ref="G533:H533"/>
    <mergeCell ref="G534:H534"/>
    <mergeCell ref="G535:H535"/>
    <mergeCell ref="E525:H525"/>
    <mergeCell ref="A526:H526"/>
    <mergeCell ref="A527:A529"/>
    <mergeCell ref="B527:F527"/>
    <mergeCell ref="G527:H527"/>
    <mergeCell ref="B528:C528"/>
    <mergeCell ref="E528:F528"/>
    <mergeCell ref="G528:H528"/>
    <mergeCell ref="G529:H529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48:H548"/>
    <mergeCell ref="A549:H549"/>
    <mergeCell ref="A550:H550"/>
    <mergeCell ref="A551:H551"/>
    <mergeCell ref="E559:H559"/>
    <mergeCell ref="A560:A561"/>
    <mergeCell ref="B560:B561"/>
    <mergeCell ref="C560:C561"/>
    <mergeCell ref="D560:D561"/>
    <mergeCell ref="E560:H560"/>
    <mergeCell ref="G566:H566"/>
    <mergeCell ref="G567:H567"/>
    <mergeCell ref="G568:H568"/>
    <mergeCell ref="G569:H569"/>
    <mergeCell ref="G570:H570"/>
    <mergeCell ref="G571:H571"/>
    <mergeCell ref="E561:H561"/>
    <mergeCell ref="A562:H562"/>
    <mergeCell ref="A563:A565"/>
    <mergeCell ref="B563:F563"/>
    <mergeCell ref="G563:H563"/>
    <mergeCell ref="B564:C564"/>
    <mergeCell ref="E564:F564"/>
    <mergeCell ref="G564:H564"/>
    <mergeCell ref="G565:H565"/>
    <mergeCell ref="G578:H578"/>
    <mergeCell ref="G579:H579"/>
    <mergeCell ref="G580:H580"/>
    <mergeCell ref="G581:H581"/>
    <mergeCell ref="G582:H582"/>
    <mergeCell ref="G583:H583"/>
    <mergeCell ref="G572:H572"/>
    <mergeCell ref="G573:H573"/>
    <mergeCell ref="G574:H574"/>
    <mergeCell ref="G575:H575"/>
    <mergeCell ref="G576:H576"/>
    <mergeCell ref="G577:H577"/>
    <mergeCell ref="G584:H584"/>
    <mergeCell ref="A585:H585"/>
    <mergeCell ref="A586:H586"/>
    <mergeCell ref="A587:H587"/>
    <mergeCell ref="E593:H593"/>
    <mergeCell ref="A594:A595"/>
    <mergeCell ref="B594:B595"/>
    <mergeCell ref="C594:C595"/>
    <mergeCell ref="D594:D595"/>
    <mergeCell ref="E594:H594"/>
    <mergeCell ref="G600:H600"/>
    <mergeCell ref="G601:H601"/>
    <mergeCell ref="G602:H602"/>
    <mergeCell ref="G603:H603"/>
    <mergeCell ref="G604:H604"/>
    <mergeCell ref="G605:H605"/>
    <mergeCell ref="E595:H595"/>
    <mergeCell ref="A596:H596"/>
    <mergeCell ref="A597:A599"/>
    <mergeCell ref="B597:F597"/>
    <mergeCell ref="G597:H597"/>
    <mergeCell ref="B598:C598"/>
    <mergeCell ref="E598:F598"/>
    <mergeCell ref="G598:H598"/>
    <mergeCell ref="G599:H599"/>
    <mergeCell ref="G612:H612"/>
    <mergeCell ref="G613:H613"/>
    <mergeCell ref="G614:H614"/>
    <mergeCell ref="G615:H615"/>
    <mergeCell ref="G616:H616"/>
    <mergeCell ref="G617:H617"/>
    <mergeCell ref="G606:H606"/>
    <mergeCell ref="G607:H607"/>
    <mergeCell ref="G608:H608"/>
    <mergeCell ref="G609:H609"/>
    <mergeCell ref="G610:H610"/>
    <mergeCell ref="G611:H611"/>
    <mergeCell ref="G618:H618"/>
    <mergeCell ref="A619:H619"/>
    <mergeCell ref="A620:H620"/>
    <mergeCell ref="A621:H621"/>
    <mergeCell ref="E629:H629"/>
    <mergeCell ref="A630:A631"/>
    <mergeCell ref="B630:B631"/>
    <mergeCell ref="C630:C631"/>
    <mergeCell ref="D630:D631"/>
    <mergeCell ref="E630:H630"/>
    <mergeCell ref="G636:H636"/>
    <mergeCell ref="G637:H637"/>
    <mergeCell ref="G638:H638"/>
    <mergeCell ref="G639:H639"/>
    <mergeCell ref="G640:H640"/>
    <mergeCell ref="G641:H641"/>
    <mergeCell ref="E631:H631"/>
    <mergeCell ref="A632:H632"/>
    <mergeCell ref="A633:A635"/>
    <mergeCell ref="B633:F633"/>
    <mergeCell ref="G633:H633"/>
    <mergeCell ref="B634:C634"/>
    <mergeCell ref="E634:F634"/>
    <mergeCell ref="G634:H634"/>
    <mergeCell ref="G635:H635"/>
    <mergeCell ref="G648:H648"/>
    <mergeCell ref="G649:H649"/>
    <mergeCell ref="G650:H650"/>
    <mergeCell ref="G651:H651"/>
    <mergeCell ref="G652:H652"/>
    <mergeCell ref="G653:H653"/>
    <mergeCell ref="G642:H642"/>
    <mergeCell ref="G643:H643"/>
    <mergeCell ref="G644:H644"/>
    <mergeCell ref="G645:H645"/>
    <mergeCell ref="G646:H646"/>
    <mergeCell ref="G647:H647"/>
    <mergeCell ref="G654:H654"/>
    <mergeCell ref="A655:H655"/>
    <mergeCell ref="A656:H656"/>
    <mergeCell ref="A657:H657"/>
    <mergeCell ref="E668:H668"/>
    <mergeCell ref="A669:A670"/>
    <mergeCell ref="B669:B670"/>
    <mergeCell ref="C669:C670"/>
    <mergeCell ref="D669:D670"/>
    <mergeCell ref="E669:H669"/>
    <mergeCell ref="E670:H670"/>
    <mergeCell ref="A671:H671"/>
    <mergeCell ref="A672:A674"/>
    <mergeCell ref="B672:F672"/>
    <mergeCell ref="G672:H672"/>
    <mergeCell ref="B673:C673"/>
    <mergeCell ref="E673:F673"/>
    <mergeCell ref="G673:H673"/>
    <mergeCell ref="G674:H674"/>
    <mergeCell ref="G681:H681"/>
    <mergeCell ref="G682:H682"/>
    <mergeCell ref="G683:H683"/>
    <mergeCell ref="G684:H684"/>
    <mergeCell ref="G685:H685"/>
    <mergeCell ref="G686:H686"/>
    <mergeCell ref="G675:H675"/>
    <mergeCell ref="G676:H676"/>
    <mergeCell ref="G677:H677"/>
    <mergeCell ref="G678:H678"/>
    <mergeCell ref="G679:H679"/>
    <mergeCell ref="G680:H680"/>
    <mergeCell ref="G693:H693"/>
    <mergeCell ref="A694:H694"/>
    <mergeCell ref="A695:H695"/>
    <mergeCell ref="A696:H696"/>
    <mergeCell ref="G687:H687"/>
    <mergeCell ref="G688:H688"/>
    <mergeCell ref="G689:H689"/>
    <mergeCell ref="G690:H690"/>
    <mergeCell ref="G691:H691"/>
    <mergeCell ref="G692:H692"/>
  </mergeCells>
  <pageMargins left="0.11811023622047245" right="0.31496062992125984" top="0.15748031496062992" bottom="0.15748031496062992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05"/>
  <sheetViews>
    <sheetView topLeftCell="B650" workbookViewId="0">
      <selection activeCell="K701" sqref="K701"/>
    </sheetView>
  </sheetViews>
  <sheetFormatPr defaultRowHeight="15" x14ac:dyDescent="0.25"/>
  <cols>
    <col min="1" max="1" width="35.42578125" customWidth="1"/>
    <col min="2" max="2" width="25.7109375" style="9" customWidth="1"/>
    <col min="3" max="3" width="14.140625" style="9" customWidth="1"/>
    <col min="4" max="4" width="16.140625" style="9" customWidth="1"/>
    <col min="5" max="5" width="17.28515625" style="9" customWidth="1"/>
    <col min="6" max="6" width="11.5703125" style="9" customWidth="1"/>
    <col min="7" max="7" width="12.7109375" style="9" customWidth="1"/>
    <col min="8" max="8" width="8.140625" style="9" customWidth="1"/>
    <col min="11" max="11" width="13.85546875" bestFit="1" customWidth="1"/>
  </cols>
  <sheetData>
    <row r="2" spans="1:10" x14ac:dyDescent="0.25">
      <c r="A2" s="29"/>
      <c r="B2" s="30"/>
      <c r="C2" s="30"/>
      <c r="D2" s="30"/>
      <c r="E2" s="56" t="s">
        <v>29</v>
      </c>
      <c r="F2" s="56"/>
      <c r="G2" s="56"/>
      <c r="H2" s="56"/>
    </row>
    <row r="3" spans="1:10" x14ac:dyDescent="0.25">
      <c r="A3" s="57"/>
      <c r="B3" s="58"/>
      <c r="C3" s="58"/>
      <c r="D3" s="59"/>
      <c r="E3" s="59" t="s">
        <v>0</v>
      </c>
      <c r="F3" s="59"/>
      <c r="G3" s="59"/>
      <c r="H3" s="59"/>
    </row>
    <row r="4" spans="1:10" x14ac:dyDescent="0.25">
      <c r="A4" s="57"/>
      <c r="B4" s="58"/>
      <c r="C4" s="58"/>
      <c r="D4" s="59"/>
      <c r="E4" s="70" t="s">
        <v>31</v>
      </c>
      <c r="F4" s="59"/>
      <c r="G4" s="59"/>
      <c r="H4" s="59"/>
    </row>
    <row r="5" spans="1:10" ht="15.75" thickBot="1" x14ac:dyDescent="0.3">
      <c r="A5" s="42" t="s">
        <v>66</v>
      </c>
      <c r="B5" s="42"/>
      <c r="C5" s="42"/>
      <c r="D5" s="42"/>
      <c r="E5" s="42"/>
      <c r="F5" s="42"/>
      <c r="G5" s="42"/>
      <c r="H5" s="42"/>
    </row>
    <row r="6" spans="1:10" x14ac:dyDescent="0.25">
      <c r="A6" s="44" t="s">
        <v>2</v>
      </c>
      <c r="B6" s="47" t="s">
        <v>30</v>
      </c>
      <c r="C6" s="48"/>
      <c r="D6" s="48"/>
      <c r="E6" s="48"/>
      <c r="F6" s="48"/>
      <c r="G6" s="49" t="s">
        <v>3</v>
      </c>
      <c r="H6" s="50"/>
    </row>
    <row r="7" spans="1:10" ht="135.75" thickBot="1" x14ac:dyDescent="0.3">
      <c r="A7" s="67"/>
      <c r="B7" s="49" t="s">
        <v>30</v>
      </c>
      <c r="C7" s="49"/>
      <c r="D7" s="14" t="s">
        <v>32</v>
      </c>
      <c r="E7" s="49" t="s">
        <v>4</v>
      </c>
      <c r="F7" s="49"/>
      <c r="G7" s="68"/>
      <c r="H7" s="53"/>
    </row>
    <row r="8" spans="1:10" ht="165.75" thickBot="1" x14ac:dyDescent="0.3">
      <c r="A8" s="46"/>
      <c r="B8" s="21" t="s">
        <v>36</v>
      </c>
      <c r="C8" s="27" t="s">
        <v>5</v>
      </c>
      <c r="D8" s="14" t="s">
        <v>33</v>
      </c>
      <c r="E8" s="27" t="s">
        <v>34</v>
      </c>
      <c r="F8" s="33" t="s">
        <v>35</v>
      </c>
      <c r="G8" s="54"/>
      <c r="H8" s="55"/>
    </row>
    <row r="9" spans="1:10" ht="15.75" thickBot="1" x14ac:dyDescent="0.3">
      <c r="A9" s="26">
        <v>1</v>
      </c>
      <c r="B9" s="33">
        <v>2</v>
      </c>
      <c r="C9" s="10">
        <v>3</v>
      </c>
      <c r="D9" s="33">
        <v>4</v>
      </c>
      <c r="E9" s="10">
        <v>5</v>
      </c>
      <c r="F9" s="33">
        <v>6</v>
      </c>
      <c r="G9" s="40" t="s">
        <v>6</v>
      </c>
      <c r="H9" s="41"/>
    </row>
    <row r="10" spans="1:10" ht="60.75" thickBot="1" x14ac:dyDescent="0.3">
      <c r="A10" s="2" t="s">
        <v>7</v>
      </c>
      <c r="B10" s="6">
        <f>B11</f>
        <v>17728.48</v>
      </c>
      <c r="C10" s="11"/>
      <c r="D10" s="6">
        <f>D11</f>
        <v>5295.52</v>
      </c>
      <c r="E10" s="7" t="s">
        <v>8</v>
      </c>
      <c r="F10" s="7" t="s">
        <v>8</v>
      </c>
      <c r="G10" s="34">
        <v>23024</v>
      </c>
      <c r="H10" s="35"/>
    </row>
    <row r="11" spans="1:10" ht="15.75" thickBot="1" x14ac:dyDescent="0.3">
      <c r="A11" s="3" t="s">
        <v>9</v>
      </c>
      <c r="B11" s="6">
        <f>G11*77%</f>
        <v>17728.48</v>
      </c>
      <c r="C11" s="11"/>
      <c r="D11" s="28">
        <f>G11-B11</f>
        <v>5295.52</v>
      </c>
      <c r="E11" s="7" t="s">
        <v>8</v>
      </c>
      <c r="F11" s="7" t="s">
        <v>8</v>
      </c>
      <c r="G11" s="34">
        <f>G10</f>
        <v>23024</v>
      </c>
      <c r="H11" s="35"/>
    </row>
    <row r="12" spans="1:10" ht="15.75" thickBot="1" x14ac:dyDescent="0.3">
      <c r="A12" s="2" t="s">
        <v>10</v>
      </c>
      <c r="B12" s="6">
        <v>0</v>
      </c>
      <c r="C12" s="11"/>
      <c r="D12" s="6">
        <v>0</v>
      </c>
      <c r="E12" s="7" t="s">
        <v>8</v>
      </c>
      <c r="F12" s="7" t="s">
        <v>8</v>
      </c>
      <c r="G12" s="34">
        <v>0</v>
      </c>
      <c r="H12" s="35"/>
    </row>
    <row r="13" spans="1:10" ht="60.75" thickBot="1" x14ac:dyDescent="0.3">
      <c r="A13" s="2" t="s">
        <v>11</v>
      </c>
      <c r="B13" s="6">
        <f t="shared" ref="B13" si="0">G13*77%</f>
        <v>9326.24</v>
      </c>
      <c r="C13" s="11"/>
      <c r="D13" s="28">
        <f>G13-B13</f>
        <v>2785.76</v>
      </c>
      <c r="E13" s="7" t="s">
        <v>8</v>
      </c>
      <c r="F13" s="7" t="s">
        <v>8</v>
      </c>
      <c r="G13" s="34">
        <v>12112</v>
      </c>
      <c r="H13" s="35"/>
    </row>
    <row r="14" spans="1:10" ht="30.75" thickBot="1" x14ac:dyDescent="0.3">
      <c r="A14" s="2" t="s">
        <v>12</v>
      </c>
      <c r="B14" s="6">
        <f>G14*77%</f>
        <v>167.09</v>
      </c>
      <c r="C14" s="11"/>
      <c r="D14" s="28">
        <f>G14-B14</f>
        <v>49.91</v>
      </c>
      <c r="E14" s="7" t="s">
        <v>8</v>
      </c>
      <c r="F14" s="7" t="s">
        <v>8</v>
      </c>
      <c r="G14" s="34">
        <v>217</v>
      </c>
      <c r="H14" s="35"/>
      <c r="I14" s="9"/>
      <c r="J14" s="9"/>
    </row>
    <row r="15" spans="1:10" ht="15.75" thickBot="1" x14ac:dyDescent="0.3">
      <c r="A15" s="2" t="s">
        <v>13</v>
      </c>
      <c r="B15" s="6">
        <f>G15*56%</f>
        <v>1649.2</v>
      </c>
      <c r="C15" s="6"/>
      <c r="D15" s="28">
        <f>G15-B15</f>
        <v>1295.8</v>
      </c>
      <c r="E15" s="7" t="s">
        <v>8</v>
      </c>
      <c r="F15" s="7" t="s">
        <v>8</v>
      </c>
      <c r="G15" s="34">
        <v>2945</v>
      </c>
      <c r="H15" s="35"/>
    </row>
    <row r="16" spans="1:10" ht="30.75" thickBot="1" x14ac:dyDescent="0.3">
      <c r="A16" s="2" t="s">
        <v>14</v>
      </c>
      <c r="B16" s="6">
        <f>G16*56%</f>
        <v>465.92000000000007</v>
      </c>
      <c r="C16" s="6"/>
      <c r="D16" s="28">
        <f>G16-B16</f>
        <v>366.07999999999993</v>
      </c>
      <c r="E16" s="7" t="s">
        <v>8</v>
      </c>
      <c r="F16" s="7" t="s">
        <v>8</v>
      </c>
      <c r="G16" s="34">
        <f>271+561</f>
        <v>832</v>
      </c>
      <c r="H16" s="35"/>
    </row>
    <row r="17" spans="1:11" ht="45.75" thickBot="1" x14ac:dyDescent="0.3">
      <c r="A17" s="2" t="s">
        <v>15</v>
      </c>
      <c r="B17" s="7" t="s">
        <v>8</v>
      </c>
      <c r="C17" s="7" t="s">
        <v>8</v>
      </c>
      <c r="D17" s="6"/>
      <c r="E17" s="7" t="s">
        <v>8</v>
      </c>
      <c r="F17" s="7" t="s">
        <v>8</v>
      </c>
      <c r="G17" s="34"/>
      <c r="H17" s="35"/>
    </row>
    <row r="18" spans="1:11" ht="15.75" thickBot="1" x14ac:dyDescent="0.3">
      <c r="A18" s="2" t="s">
        <v>16</v>
      </c>
      <c r="B18" s="7" t="s">
        <v>8</v>
      </c>
      <c r="C18" s="7" t="s">
        <v>8</v>
      </c>
      <c r="D18" s="11"/>
      <c r="E18" s="6"/>
      <c r="F18" s="6"/>
      <c r="G18" s="34"/>
      <c r="H18" s="35"/>
    </row>
    <row r="19" spans="1:11" ht="15.75" thickBot="1" x14ac:dyDescent="0.3">
      <c r="A19" s="3" t="s">
        <v>17</v>
      </c>
      <c r="B19" s="6">
        <f>G19*56%</f>
        <v>0</v>
      </c>
      <c r="C19" s="7"/>
      <c r="D19" s="6"/>
      <c r="E19" s="6">
        <f>G19-B19</f>
        <v>0</v>
      </c>
      <c r="F19" s="6"/>
      <c r="G19" s="34">
        <v>0</v>
      </c>
      <c r="H19" s="35"/>
    </row>
    <row r="20" spans="1:11" ht="15.75" thickBot="1" x14ac:dyDescent="0.3">
      <c r="A20" s="3" t="s">
        <v>18</v>
      </c>
      <c r="B20" s="6"/>
      <c r="C20" s="7"/>
      <c r="D20" s="7"/>
      <c r="E20" s="6"/>
      <c r="F20" s="6"/>
      <c r="G20" s="34"/>
      <c r="H20" s="35"/>
    </row>
    <row r="21" spans="1:11" ht="45.75" thickBot="1" x14ac:dyDescent="0.3">
      <c r="A21" s="2" t="s">
        <v>19</v>
      </c>
      <c r="B21" s="6"/>
      <c r="C21" s="7"/>
      <c r="D21" s="6"/>
      <c r="E21" s="6"/>
      <c r="F21" s="6"/>
      <c r="G21" s="38"/>
      <c r="H21" s="39"/>
    </row>
    <row r="22" spans="1:11" ht="30.75" thickBot="1" x14ac:dyDescent="0.3">
      <c r="A22" s="2" t="s">
        <v>20</v>
      </c>
      <c r="B22" s="6"/>
      <c r="C22" s="7"/>
      <c r="D22" s="6"/>
      <c r="E22" s="6">
        <v>6843</v>
      </c>
      <c r="F22" s="6"/>
      <c r="G22" s="34">
        <v>7229</v>
      </c>
      <c r="H22" s="35"/>
    </row>
    <row r="23" spans="1:11" ht="30.75" thickBot="1" x14ac:dyDescent="0.3">
      <c r="A23" s="2" t="s">
        <v>21</v>
      </c>
      <c r="B23" s="6">
        <f>G23*56%</f>
        <v>1370.3200000000002</v>
      </c>
      <c r="C23" s="6"/>
      <c r="D23" s="28">
        <f>G23-B23</f>
        <v>1076.6799999999998</v>
      </c>
      <c r="E23" s="7" t="s">
        <v>8</v>
      </c>
      <c r="F23" s="7" t="s">
        <v>8</v>
      </c>
      <c r="G23" s="34">
        <f>2447</f>
        <v>2447</v>
      </c>
      <c r="H23" s="35"/>
    </row>
    <row r="24" spans="1:11" ht="15.75" thickBot="1" x14ac:dyDescent="0.3">
      <c r="A24" s="3" t="s">
        <v>22</v>
      </c>
      <c r="B24" s="6">
        <f>G24*56%</f>
        <v>1962.2400000000002</v>
      </c>
      <c r="C24" s="6"/>
      <c r="D24" s="28">
        <f>G24-B24</f>
        <v>1541.7599999999998</v>
      </c>
      <c r="E24" s="7" t="s">
        <v>8</v>
      </c>
      <c r="F24" s="7" t="s">
        <v>8</v>
      </c>
      <c r="G24" s="34">
        <f>3379+125</f>
        <v>3504</v>
      </c>
      <c r="H24" s="35"/>
    </row>
    <row r="25" spans="1:11" ht="15.75" thickBot="1" x14ac:dyDescent="0.3">
      <c r="A25" s="3" t="s">
        <v>23</v>
      </c>
      <c r="B25" s="7" t="s">
        <v>8</v>
      </c>
      <c r="C25" s="11"/>
      <c r="D25" s="7" t="s">
        <v>8</v>
      </c>
      <c r="E25" s="7" t="s">
        <v>8</v>
      </c>
      <c r="F25" s="7" t="s">
        <v>8</v>
      </c>
      <c r="G25" s="38"/>
      <c r="H25" s="39"/>
    </row>
    <row r="26" spans="1:11" ht="15.75" thickBot="1" x14ac:dyDescent="0.3">
      <c r="A26" s="3" t="s">
        <v>24</v>
      </c>
      <c r="B26" s="6"/>
      <c r="C26" s="6"/>
      <c r="D26" s="6"/>
      <c r="E26" s="7" t="s">
        <v>8</v>
      </c>
      <c r="F26" s="7" t="s">
        <v>8</v>
      </c>
      <c r="G26" s="34"/>
      <c r="H26" s="35"/>
    </row>
    <row r="27" spans="1:11" ht="15.75" thickBot="1" x14ac:dyDescent="0.3">
      <c r="A27" s="4" t="s">
        <v>25</v>
      </c>
      <c r="B27" s="6">
        <f>SUM(B11:B26)</f>
        <v>32669.49</v>
      </c>
      <c r="C27" s="6"/>
      <c r="D27" s="6">
        <f>SUM(D11:D26)</f>
        <v>12411.51</v>
      </c>
      <c r="E27" s="6">
        <f>SUM(E11:E26)</f>
        <v>6843</v>
      </c>
      <c r="F27" s="6"/>
      <c r="G27" s="34">
        <f>SUM(G11:H26)</f>
        <v>52310</v>
      </c>
      <c r="H27" s="35"/>
    </row>
    <row r="28" spans="1:11" x14ac:dyDescent="0.25">
      <c r="A28" s="36" t="s">
        <v>26</v>
      </c>
      <c r="B28" s="36"/>
      <c r="C28" s="36"/>
      <c r="D28" s="36"/>
      <c r="E28" s="36"/>
      <c r="F28" s="36"/>
      <c r="G28" s="36"/>
      <c r="H28" s="36"/>
    </row>
    <row r="29" spans="1:11" x14ac:dyDescent="0.25">
      <c r="A29" s="37" t="s">
        <v>27</v>
      </c>
      <c r="B29" s="37"/>
      <c r="C29" s="37"/>
      <c r="D29" s="37"/>
      <c r="E29" s="37"/>
      <c r="F29" s="37"/>
      <c r="G29" s="37"/>
      <c r="H29" s="37"/>
    </row>
    <row r="30" spans="1:11" x14ac:dyDescent="0.25">
      <c r="A30" s="37" t="s">
        <v>28</v>
      </c>
      <c r="B30" s="37"/>
      <c r="C30" s="37"/>
      <c r="D30" s="37"/>
      <c r="E30" s="37"/>
      <c r="F30" s="37"/>
      <c r="G30" s="37"/>
      <c r="H30" s="37"/>
      <c r="K30" s="9"/>
    </row>
    <row r="31" spans="1:11" x14ac:dyDescent="0.25">
      <c r="K31" s="9"/>
    </row>
    <row r="32" spans="1:11" x14ac:dyDescent="0.25">
      <c r="B32" s="9" t="s">
        <v>67</v>
      </c>
      <c r="C32" s="9">
        <v>17020</v>
      </c>
    </row>
    <row r="33" spans="1:8" x14ac:dyDescent="0.25">
      <c r="C33" s="9">
        <f>C32-B27</f>
        <v>-15649.490000000002</v>
      </c>
    </row>
    <row r="38" spans="1:8" x14ac:dyDescent="0.25">
      <c r="A38" s="29"/>
      <c r="B38" s="30"/>
      <c r="C38" s="30"/>
      <c r="D38" s="30"/>
      <c r="E38" s="56" t="s">
        <v>29</v>
      </c>
      <c r="F38" s="56"/>
      <c r="G38" s="56"/>
      <c r="H38" s="56"/>
    </row>
    <row r="39" spans="1:8" x14ac:dyDescent="0.25">
      <c r="A39" s="57"/>
      <c r="B39" s="58"/>
      <c r="C39" s="58"/>
      <c r="D39" s="59"/>
      <c r="E39" s="59" t="s">
        <v>0</v>
      </c>
      <c r="F39" s="59"/>
      <c r="G39" s="59"/>
      <c r="H39" s="59"/>
    </row>
    <row r="40" spans="1:8" x14ac:dyDescent="0.25">
      <c r="A40" s="57"/>
      <c r="B40" s="58"/>
      <c r="C40" s="58"/>
      <c r="D40" s="59"/>
      <c r="E40" s="70" t="s">
        <v>31</v>
      </c>
      <c r="F40" s="59"/>
      <c r="G40" s="59"/>
      <c r="H40" s="59"/>
    </row>
    <row r="41" spans="1:8" ht="15.75" thickBot="1" x14ac:dyDescent="0.3">
      <c r="A41" s="42" t="s">
        <v>68</v>
      </c>
      <c r="B41" s="42"/>
      <c r="C41" s="42"/>
      <c r="D41" s="42"/>
      <c r="E41" s="42"/>
      <c r="F41" s="42"/>
      <c r="G41" s="42"/>
      <c r="H41" s="42"/>
    </row>
    <row r="42" spans="1:8" x14ac:dyDescent="0.25">
      <c r="A42" s="44" t="s">
        <v>2</v>
      </c>
      <c r="B42" s="47" t="s">
        <v>30</v>
      </c>
      <c r="C42" s="48"/>
      <c r="D42" s="48"/>
      <c r="E42" s="48"/>
      <c r="F42" s="48"/>
      <c r="G42" s="49" t="s">
        <v>3</v>
      </c>
      <c r="H42" s="50"/>
    </row>
    <row r="43" spans="1:8" ht="135.75" thickBot="1" x14ac:dyDescent="0.3">
      <c r="A43" s="67"/>
      <c r="B43" s="49" t="s">
        <v>30</v>
      </c>
      <c r="C43" s="49"/>
      <c r="D43" s="14" t="s">
        <v>32</v>
      </c>
      <c r="E43" s="49" t="s">
        <v>4</v>
      </c>
      <c r="F43" s="49"/>
      <c r="G43" s="68"/>
      <c r="H43" s="53"/>
    </row>
    <row r="44" spans="1:8" ht="165.75" thickBot="1" x14ac:dyDescent="0.3">
      <c r="A44" s="46"/>
      <c r="B44" s="13" t="s">
        <v>36</v>
      </c>
      <c r="C44" s="27" t="s">
        <v>5</v>
      </c>
      <c r="D44" s="14" t="s">
        <v>33</v>
      </c>
      <c r="E44" s="27" t="s">
        <v>34</v>
      </c>
      <c r="F44" s="33" t="s">
        <v>35</v>
      </c>
      <c r="G44" s="54"/>
      <c r="H44" s="55"/>
    </row>
    <row r="45" spans="1:8" ht="15.75" thickBot="1" x14ac:dyDescent="0.3">
      <c r="A45" s="26">
        <v>1</v>
      </c>
      <c r="B45" s="33">
        <v>2</v>
      </c>
      <c r="C45" s="10">
        <v>3</v>
      </c>
      <c r="D45" s="33">
        <v>4</v>
      </c>
      <c r="E45" s="10">
        <v>5</v>
      </c>
      <c r="F45" s="33">
        <v>6</v>
      </c>
      <c r="G45" s="40" t="s">
        <v>6</v>
      </c>
      <c r="H45" s="41"/>
    </row>
    <row r="46" spans="1:8" ht="60.75" thickBot="1" x14ac:dyDescent="0.3">
      <c r="A46" s="2" t="s">
        <v>7</v>
      </c>
      <c r="B46" s="6">
        <f>B47</f>
        <v>35764.959999999999</v>
      </c>
      <c r="C46" s="11"/>
      <c r="D46" s="6">
        <f>D47</f>
        <v>10683.04</v>
      </c>
      <c r="E46" s="7" t="s">
        <v>8</v>
      </c>
      <c r="F46" s="7" t="s">
        <v>8</v>
      </c>
      <c r="G46" s="34">
        <f>46737-289</f>
        <v>46448</v>
      </c>
      <c r="H46" s="35"/>
    </row>
    <row r="47" spans="1:8" ht="15.75" thickBot="1" x14ac:dyDescent="0.3">
      <c r="A47" s="3" t="s">
        <v>9</v>
      </c>
      <c r="B47" s="6">
        <f>G47*77%</f>
        <v>35764.959999999999</v>
      </c>
      <c r="C47" s="11"/>
      <c r="D47" s="28">
        <f>G47-B47</f>
        <v>10683.04</v>
      </c>
      <c r="E47" s="7" t="s">
        <v>8</v>
      </c>
      <c r="F47" s="7" t="s">
        <v>8</v>
      </c>
      <c r="G47" s="34">
        <f>G46</f>
        <v>46448</v>
      </c>
      <c r="H47" s="35"/>
    </row>
    <row r="48" spans="1:8" ht="15.75" thickBot="1" x14ac:dyDescent="0.3">
      <c r="A48" s="2" t="s">
        <v>10</v>
      </c>
      <c r="B48" s="6">
        <v>0</v>
      </c>
      <c r="C48" s="11"/>
      <c r="D48" s="6">
        <v>0</v>
      </c>
      <c r="E48" s="7" t="s">
        <v>8</v>
      </c>
      <c r="F48" s="7" t="s">
        <v>8</v>
      </c>
      <c r="G48" s="34">
        <v>0</v>
      </c>
      <c r="H48" s="35"/>
    </row>
    <row r="49" spans="1:9" ht="60.75" thickBot="1" x14ac:dyDescent="0.3">
      <c r="A49" s="2" t="s">
        <v>11</v>
      </c>
      <c r="B49" s="6">
        <f t="shared" ref="B49" si="1">G49*77%</f>
        <v>18631.689999999999</v>
      </c>
      <c r="C49" s="11"/>
      <c r="D49" s="28">
        <f>G49-B49</f>
        <v>5565.3100000000013</v>
      </c>
      <c r="E49" s="7" t="s">
        <v>8</v>
      </c>
      <c r="F49" s="7" t="s">
        <v>8</v>
      </c>
      <c r="G49" s="34">
        <f>20485+3885-173</f>
        <v>24197</v>
      </c>
      <c r="H49" s="35"/>
    </row>
    <row r="50" spans="1:9" ht="30.75" thickBot="1" x14ac:dyDescent="0.3">
      <c r="A50" s="2" t="s">
        <v>12</v>
      </c>
      <c r="B50" s="6">
        <f>G50*77%</f>
        <v>355.74</v>
      </c>
      <c r="C50" s="11"/>
      <c r="D50" s="28">
        <f>G50-B50</f>
        <v>106.25999999999999</v>
      </c>
      <c r="E50" s="7" t="s">
        <v>8</v>
      </c>
      <c r="F50" s="7" t="s">
        <v>8</v>
      </c>
      <c r="G50" s="34">
        <f>289+173</f>
        <v>462</v>
      </c>
      <c r="H50" s="35"/>
      <c r="I50" s="9"/>
    </row>
    <row r="51" spans="1:9" ht="15.75" thickBot="1" x14ac:dyDescent="0.3">
      <c r="A51" s="2" t="s">
        <v>13</v>
      </c>
      <c r="B51" s="6">
        <f>G51*56%</f>
        <v>3212.7200000000003</v>
      </c>
      <c r="C51" s="6"/>
      <c r="D51" s="28">
        <f>G51-B51</f>
        <v>2524.2799999999997</v>
      </c>
      <c r="E51" s="7" t="s">
        <v>8</v>
      </c>
      <c r="F51" s="7" t="s">
        <v>8</v>
      </c>
      <c r="G51" s="34">
        <v>5737</v>
      </c>
      <c r="H51" s="35"/>
    </row>
    <row r="52" spans="1:9" ht="30.75" thickBot="1" x14ac:dyDescent="0.3">
      <c r="A52" s="2" t="s">
        <v>14</v>
      </c>
      <c r="B52" s="6">
        <f>G52*56%</f>
        <v>673.68000000000006</v>
      </c>
      <c r="C52" s="6"/>
      <c r="D52" s="28">
        <f>G52-B52</f>
        <v>529.31999999999994</v>
      </c>
      <c r="E52" s="7" t="s">
        <v>8</v>
      </c>
      <c r="F52" s="7" t="s">
        <v>8</v>
      </c>
      <c r="G52" s="34">
        <f>271+561+371</f>
        <v>1203</v>
      </c>
      <c r="H52" s="35"/>
    </row>
    <row r="53" spans="1:9" ht="45.75" thickBot="1" x14ac:dyDescent="0.3">
      <c r="A53" s="2" t="s">
        <v>15</v>
      </c>
      <c r="B53" s="7" t="s">
        <v>8</v>
      </c>
      <c r="C53" s="7" t="s">
        <v>8</v>
      </c>
      <c r="D53" s="6"/>
      <c r="E53" s="7" t="s">
        <v>8</v>
      </c>
      <c r="F53" s="7" t="s">
        <v>8</v>
      </c>
      <c r="G53" s="34"/>
      <c r="H53" s="35"/>
    </row>
    <row r="54" spans="1:9" ht="15.75" thickBot="1" x14ac:dyDescent="0.3">
      <c r="A54" s="2" t="s">
        <v>16</v>
      </c>
      <c r="B54" s="7" t="s">
        <v>8</v>
      </c>
      <c r="C54" s="7" t="s">
        <v>8</v>
      </c>
      <c r="D54" s="11">
        <v>0</v>
      </c>
      <c r="E54" s="6">
        <v>0</v>
      </c>
      <c r="F54" s="6"/>
      <c r="G54" s="34">
        <v>0</v>
      </c>
      <c r="H54" s="35"/>
    </row>
    <row r="55" spans="1:9" ht="15.75" thickBot="1" x14ac:dyDescent="0.3">
      <c r="A55" s="3" t="s">
        <v>17</v>
      </c>
      <c r="B55" s="6">
        <f>G55*56%</f>
        <v>0</v>
      </c>
      <c r="C55" s="7"/>
      <c r="D55" s="6"/>
      <c r="E55" s="6">
        <f>G55-B55</f>
        <v>0</v>
      </c>
      <c r="F55" s="6"/>
      <c r="G55" s="34">
        <v>0</v>
      </c>
      <c r="H55" s="35"/>
    </row>
    <row r="56" spans="1:9" ht="15.75" thickBot="1" x14ac:dyDescent="0.3">
      <c r="A56" s="3" t="s">
        <v>18</v>
      </c>
      <c r="B56" s="6"/>
      <c r="C56" s="7"/>
      <c r="D56" s="7"/>
      <c r="E56" s="6"/>
      <c r="F56" s="6"/>
      <c r="G56" s="34"/>
      <c r="H56" s="35"/>
    </row>
    <row r="57" spans="1:9" ht="45.75" thickBot="1" x14ac:dyDescent="0.3">
      <c r="A57" s="2" t="s">
        <v>19</v>
      </c>
      <c r="B57" s="6"/>
      <c r="C57" s="7"/>
      <c r="D57" s="6"/>
      <c r="E57" s="6"/>
      <c r="F57" s="6"/>
      <c r="G57" s="38"/>
      <c r="H57" s="39"/>
    </row>
    <row r="58" spans="1:9" ht="30.75" thickBot="1" x14ac:dyDescent="0.3">
      <c r="A58" s="2" t="s">
        <v>20</v>
      </c>
      <c r="B58" s="6"/>
      <c r="C58" s="7"/>
      <c r="D58" s="6"/>
      <c r="E58" s="6">
        <v>14034</v>
      </c>
      <c r="F58" s="6"/>
      <c r="G58" s="34">
        <v>14458</v>
      </c>
      <c r="H58" s="35"/>
    </row>
    <row r="59" spans="1:9" ht="30.75" thickBot="1" x14ac:dyDescent="0.3">
      <c r="A59" s="2" t="s">
        <v>21</v>
      </c>
      <c r="B59" s="6">
        <f>G59*56%</f>
        <v>4366.88</v>
      </c>
      <c r="C59" s="6"/>
      <c r="D59" s="28">
        <f>G59-B59</f>
        <v>3431.12</v>
      </c>
      <c r="E59" s="7" t="s">
        <v>8</v>
      </c>
      <c r="F59" s="7" t="s">
        <v>8</v>
      </c>
      <c r="G59" s="34">
        <v>7798</v>
      </c>
      <c r="H59" s="35"/>
    </row>
    <row r="60" spans="1:9" ht="15.75" thickBot="1" x14ac:dyDescent="0.3">
      <c r="A60" s="3" t="s">
        <v>22</v>
      </c>
      <c r="B60" s="6">
        <f>G60*56%</f>
        <v>9373.2800000000007</v>
      </c>
      <c r="C60" s="6"/>
      <c r="D60" s="28">
        <f>G60-B60</f>
        <v>7364.7199999999993</v>
      </c>
      <c r="E60" s="7" t="s">
        <v>8</v>
      </c>
      <c r="F60" s="7" t="s">
        <v>8</v>
      </c>
      <c r="G60" s="34">
        <f>8300+3150+4658+630</f>
        <v>16738</v>
      </c>
      <c r="H60" s="35"/>
    </row>
    <row r="61" spans="1:9" ht="15.75" thickBot="1" x14ac:dyDescent="0.3">
      <c r="A61" s="3" t="s">
        <v>23</v>
      </c>
      <c r="B61" s="7" t="s">
        <v>8</v>
      </c>
      <c r="C61" s="11"/>
      <c r="D61" s="7" t="s">
        <v>8</v>
      </c>
      <c r="E61" s="7" t="s">
        <v>8</v>
      </c>
      <c r="F61" s="7" t="s">
        <v>8</v>
      </c>
      <c r="G61" s="38"/>
      <c r="H61" s="39"/>
    </row>
    <row r="62" spans="1:9" ht="15.75" thickBot="1" x14ac:dyDescent="0.3">
      <c r="A62" s="3" t="s">
        <v>24</v>
      </c>
      <c r="B62" s="6"/>
      <c r="C62" s="6"/>
      <c r="D62" s="6"/>
      <c r="E62" s="7" t="s">
        <v>8</v>
      </c>
      <c r="F62" s="7" t="s">
        <v>8</v>
      </c>
      <c r="G62" s="34"/>
      <c r="H62" s="35"/>
    </row>
    <row r="63" spans="1:9" ht="15.75" thickBot="1" x14ac:dyDescent="0.3">
      <c r="A63" s="4" t="s">
        <v>25</v>
      </c>
      <c r="B63" s="6">
        <f>SUM(B47:B62)</f>
        <v>72378.95</v>
      </c>
      <c r="C63" s="6"/>
      <c r="D63" s="6">
        <f>SUM(D47:D62)</f>
        <v>30204.050000000003</v>
      </c>
      <c r="E63" s="6">
        <f>SUM(E47:E62)</f>
        <v>14034</v>
      </c>
      <c r="F63" s="6"/>
      <c r="G63" s="34">
        <f>SUM(G47:H62)</f>
        <v>117041</v>
      </c>
      <c r="H63" s="35"/>
      <c r="I63" s="9">
        <f>102583-G63</f>
        <v>-14458</v>
      </c>
    </row>
    <row r="64" spans="1:9" x14ac:dyDescent="0.25">
      <c r="A64" s="36" t="s">
        <v>26</v>
      </c>
      <c r="B64" s="36"/>
      <c r="C64" s="36"/>
      <c r="D64" s="36"/>
      <c r="E64" s="36"/>
      <c r="F64" s="36"/>
      <c r="G64" s="36"/>
      <c r="H64" s="36"/>
    </row>
    <row r="65" spans="1:11" x14ac:dyDescent="0.25">
      <c r="A65" s="37" t="s">
        <v>27</v>
      </c>
      <c r="B65" s="37"/>
      <c r="C65" s="37"/>
      <c r="D65" s="37"/>
      <c r="E65" s="37"/>
      <c r="F65" s="37"/>
      <c r="G65" s="37"/>
      <c r="H65" s="37"/>
    </row>
    <row r="66" spans="1:11" x14ac:dyDescent="0.25">
      <c r="A66" s="37" t="s">
        <v>28</v>
      </c>
      <c r="B66" s="37"/>
      <c r="C66" s="37"/>
      <c r="D66" s="37"/>
      <c r="E66" s="37"/>
      <c r="F66" s="37"/>
      <c r="G66" s="37"/>
      <c r="H66" s="37"/>
      <c r="K66" s="9"/>
    </row>
    <row r="67" spans="1:11" x14ac:dyDescent="0.25">
      <c r="K67" s="9"/>
    </row>
    <row r="68" spans="1:11" x14ac:dyDescent="0.25">
      <c r="B68" s="9" t="s">
        <v>69</v>
      </c>
      <c r="C68" s="9">
        <v>46420</v>
      </c>
    </row>
    <row r="69" spans="1:11" x14ac:dyDescent="0.25">
      <c r="C69" s="9">
        <f>C68-B63</f>
        <v>-25958.949999999997</v>
      </c>
    </row>
    <row r="76" spans="1:11" x14ac:dyDescent="0.25">
      <c r="A76" s="29"/>
      <c r="B76" s="30"/>
      <c r="C76" s="30"/>
      <c r="D76" s="30"/>
      <c r="E76" s="56" t="s">
        <v>29</v>
      </c>
      <c r="F76" s="56"/>
      <c r="G76" s="56"/>
      <c r="H76" s="56"/>
    </row>
    <row r="77" spans="1:11" x14ac:dyDescent="0.25">
      <c r="A77" s="57"/>
      <c r="B77" s="58"/>
      <c r="C77" s="58"/>
      <c r="D77" s="59"/>
      <c r="E77" s="59" t="s">
        <v>0</v>
      </c>
      <c r="F77" s="59"/>
      <c r="G77" s="59"/>
      <c r="H77" s="59"/>
    </row>
    <row r="78" spans="1:11" x14ac:dyDescent="0.25">
      <c r="A78" s="57"/>
      <c r="B78" s="58"/>
      <c r="C78" s="58"/>
      <c r="D78" s="59"/>
      <c r="E78" s="70" t="s">
        <v>31</v>
      </c>
      <c r="F78" s="59"/>
      <c r="G78" s="59"/>
      <c r="H78" s="59"/>
    </row>
    <row r="79" spans="1:11" ht="15.75" thickBot="1" x14ac:dyDescent="0.3">
      <c r="A79" s="42" t="s">
        <v>70</v>
      </c>
      <c r="B79" s="42"/>
      <c r="C79" s="42"/>
      <c r="D79" s="42"/>
      <c r="E79" s="42"/>
      <c r="F79" s="42"/>
      <c r="G79" s="42"/>
      <c r="H79" s="42"/>
    </row>
    <row r="80" spans="1:11" x14ac:dyDescent="0.25">
      <c r="A80" s="44" t="s">
        <v>2</v>
      </c>
      <c r="B80" s="47" t="s">
        <v>30</v>
      </c>
      <c r="C80" s="48"/>
      <c r="D80" s="48"/>
      <c r="E80" s="48"/>
      <c r="F80" s="48"/>
      <c r="G80" s="49" t="s">
        <v>3</v>
      </c>
      <c r="H80" s="50"/>
    </row>
    <row r="81" spans="1:9" ht="135.75" thickBot="1" x14ac:dyDescent="0.3">
      <c r="A81" s="67"/>
      <c r="B81" s="49" t="s">
        <v>30</v>
      </c>
      <c r="C81" s="49"/>
      <c r="D81" s="14" t="s">
        <v>32</v>
      </c>
      <c r="E81" s="49" t="s">
        <v>4</v>
      </c>
      <c r="F81" s="49"/>
      <c r="G81" s="68"/>
      <c r="H81" s="53"/>
    </row>
    <row r="82" spans="1:9" ht="165.75" thickBot="1" x14ac:dyDescent="0.3">
      <c r="A82" s="46"/>
      <c r="B82" s="13" t="s">
        <v>36</v>
      </c>
      <c r="C82" s="27" t="s">
        <v>5</v>
      </c>
      <c r="D82" s="14" t="s">
        <v>33</v>
      </c>
      <c r="E82" s="27" t="s">
        <v>34</v>
      </c>
      <c r="F82" s="33" t="s">
        <v>35</v>
      </c>
      <c r="G82" s="54"/>
      <c r="H82" s="55"/>
    </row>
    <row r="83" spans="1:9" ht="15.75" thickBot="1" x14ac:dyDescent="0.3">
      <c r="A83" s="26">
        <v>1</v>
      </c>
      <c r="B83" s="33">
        <v>2</v>
      </c>
      <c r="C83" s="10">
        <v>3</v>
      </c>
      <c r="D83" s="33">
        <v>4</v>
      </c>
      <c r="E83" s="10">
        <v>5</v>
      </c>
      <c r="F83" s="33">
        <v>6</v>
      </c>
      <c r="G83" s="40" t="s">
        <v>6</v>
      </c>
      <c r="H83" s="41"/>
    </row>
    <row r="84" spans="1:9" ht="60.75" thickBot="1" x14ac:dyDescent="0.3">
      <c r="A84" s="2" t="s">
        <v>7</v>
      </c>
      <c r="B84" s="6">
        <f>B85</f>
        <v>53782.96</v>
      </c>
      <c r="C84" s="11"/>
      <c r="D84" s="6">
        <f>D85</f>
        <v>16065.04</v>
      </c>
      <c r="E84" s="7" t="s">
        <v>8</v>
      </c>
      <c r="F84" s="7" t="s">
        <v>8</v>
      </c>
      <c r="G84" s="34">
        <f>70295-447</f>
        <v>69848</v>
      </c>
      <c r="H84" s="35"/>
    </row>
    <row r="85" spans="1:9" ht="15.75" thickBot="1" x14ac:dyDescent="0.3">
      <c r="A85" s="3" t="s">
        <v>9</v>
      </c>
      <c r="B85" s="6">
        <f>G85*77%</f>
        <v>53782.96</v>
      </c>
      <c r="C85" s="11"/>
      <c r="D85" s="28">
        <f>G85-B85</f>
        <v>16065.04</v>
      </c>
      <c r="E85" s="7" t="s">
        <v>8</v>
      </c>
      <c r="F85" s="7" t="s">
        <v>8</v>
      </c>
      <c r="G85" s="34">
        <f>G84</f>
        <v>69848</v>
      </c>
      <c r="H85" s="35"/>
    </row>
    <row r="86" spans="1:9" ht="15.75" thickBot="1" x14ac:dyDescent="0.3">
      <c r="A86" s="2" t="s">
        <v>10</v>
      </c>
      <c r="B86" s="6">
        <v>0</v>
      </c>
      <c r="C86" s="11"/>
      <c r="D86" s="6">
        <v>0</v>
      </c>
      <c r="E86" s="7" t="s">
        <v>8</v>
      </c>
      <c r="F86" s="7" t="s">
        <v>8</v>
      </c>
      <c r="G86" s="34">
        <v>0</v>
      </c>
      <c r="H86" s="35"/>
    </row>
    <row r="87" spans="1:9" ht="60.75" thickBot="1" x14ac:dyDescent="0.3">
      <c r="A87" s="2" t="s">
        <v>11</v>
      </c>
      <c r="B87" s="6">
        <f t="shared" ref="B87" si="2">G87*77%</f>
        <v>27747.72</v>
      </c>
      <c r="C87" s="11"/>
      <c r="D87" s="28">
        <f>G87-B87</f>
        <v>8288.2799999999988</v>
      </c>
      <c r="E87" s="7" t="s">
        <v>8</v>
      </c>
      <c r="F87" s="7" t="s">
        <v>8</v>
      </c>
      <c r="G87" s="34">
        <f>36261-225</f>
        <v>36036</v>
      </c>
      <c r="H87" s="35"/>
    </row>
    <row r="88" spans="1:9" ht="30.75" thickBot="1" x14ac:dyDescent="0.3">
      <c r="A88" s="2" t="s">
        <v>12</v>
      </c>
      <c r="B88" s="6">
        <f>G88*77%</f>
        <v>517.44000000000005</v>
      </c>
      <c r="C88" s="11"/>
      <c r="D88" s="28">
        <f>G88-B88</f>
        <v>154.55999999999995</v>
      </c>
      <c r="E88" s="7" t="s">
        <v>8</v>
      </c>
      <c r="F88" s="7" t="s">
        <v>8</v>
      </c>
      <c r="G88" s="34">
        <f>447+225</f>
        <v>672</v>
      </c>
      <c r="H88" s="35"/>
      <c r="I88" s="9"/>
    </row>
    <row r="89" spans="1:9" ht="15.75" thickBot="1" x14ac:dyDescent="0.3">
      <c r="A89" s="2" t="s">
        <v>13</v>
      </c>
      <c r="B89" s="6">
        <f>G89*56%</f>
        <v>4005.6800000000003</v>
      </c>
      <c r="C89" s="6"/>
      <c r="D89" s="28">
        <f>G89-B89</f>
        <v>3147.3199999999997</v>
      </c>
      <c r="E89" s="7" t="s">
        <v>8</v>
      </c>
      <c r="F89" s="7" t="s">
        <v>8</v>
      </c>
      <c r="G89" s="34">
        <v>7153</v>
      </c>
      <c r="H89" s="35"/>
    </row>
    <row r="90" spans="1:9" ht="30.75" thickBot="1" x14ac:dyDescent="0.3">
      <c r="A90" s="2" t="s">
        <v>14</v>
      </c>
      <c r="B90" s="6">
        <f>G90*56%</f>
        <v>963.2</v>
      </c>
      <c r="C90" s="6"/>
      <c r="D90" s="28">
        <f>G90-B90</f>
        <v>756.8</v>
      </c>
      <c r="E90" s="7" t="s">
        <v>8</v>
      </c>
      <c r="F90" s="7" t="s">
        <v>8</v>
      </c>
      <c r="G90" s="34">
        <f>8873-G89</f>
        <v>1720</v>
      </c>
      <c r="H90" s="35"/>
    </row>
    <row r="91" spans="1:9" ht="45.75" thickBot="1" x14ac:dyDescent="0.3">
      <c r="A91" s="2" t="s">
        <v>15</v>
      </c>
      <c r="B91" s="7" t="s">
        <v>8</v>
      </c>
      <c r="C91" s="7" t="s">
        <v>8</v>
      </c>
      <c r="D91" s="6"/>
      <c r="E91" s="7" t="s">
        <v>8</v>
      </c>
      <c r="F91" s="7" t="s">
        <v>8</v>
      </c>
      <c r="G91" s="34"/>
      <c r="H91" s="35"/>
    </row>
    <row r="92" spans="1:9" ht="15.75" thickBot="1" x14ac:dyDescent="0.3">
      <c r="A92" s="2" t="s">
        <v>16</v>
      </c>
      <c r="B92" s="7" t="s">
        <v>8</v>
      </c>
      <c r="C92" s="7" t="s">
        <v>8</v>
      </c>
      <c r="D92" s="11"/>
      <c r="E92" s="6">
        <v>0</v>
      </c>
      <c r="F92" s="6"/>
      <c r="G92" s="34">
        <v>0</v>
      </c>
      <c r="H92" s="35"/>
    </row>
    <row r="93" spans="1:9" ht="15.75" thickBot="1" x14ac:dyDescent="0.3">
      <c r="A93" s="3" t="s">
        <v>17</v>
      </c>
      <c r="B93" s="6">
        <f>G93*56%</f>
        <v>0</v>
      </c>
      <c r="C93" s="7"/>
      <c r="D93" s="6"/>
      <c r="E93" s="6">
        <f>G93-B93</f>
        <v>0</v>
      </c>
      <c r="F93" s="6"/>
      <c r="G93" s="34">
        <v>0</v>
      </c>
      <c r="H93" s="35"/>
    </row>
    <row r="94" spans="1:9" ht="15.75" thickBot="1" x14ac:dyDescent="0.3">
      <c r="A94" s="3" t="s">
        <v>18</v>
      </c>
      <c r="B94" s="6"/>
      <c r="C94" s="7"/>
      <c r="D94" s="7"/>
      <c r="E94" s="6"/>
      <c r="F94" s="6"/>
      <c r="G94" s="34"/>
      <c r="H94" s="35"/>
    </row>
    <row r="95" spans="1:9" ht="45.75" thickBot="1" x14ac:dyDescent="0.3">
      <c r="A95" s="2" t="s">
        <v>19</v>
      </c>
      <c r="B95" s="6"/>
      <c r="C95" s="7"/>
      <c r="D95" s="6"/>
      <c r="E95" s="6"/>
      <c r="F95" s="6"/>
      <c r="G95" s="38"/>
      <c r="H95" s="39"/>
    </row>
    <row r="96" spans="1:9" ht="30.75" thickBot="1" x14ac:dyDescent="0.3">
      <c r="A96" s="2" t="s">
        <v>20</v>
      </c>
      <c r="B96" s="6"/>
      <c r="C96" s="7"/>
      <c r="D96" s="6"/>
      <c r="E96" s="6">
        <v>21247</v>
      </c>
      <c r="F96" s="6"/>
      <c r="G96" s="34">
        <v>21628</v>
      </c>
      <c r="H96" s="35"/>
    </row>
    <row r="97" spans="1:11" ht="30.75" thickBot="1" x14ac:dyDescent="0.3">
      <c r="A97" s="2" t="s">
        <v>21</v>
      </c>
      <c r="B97" s="6">
        <f>G97*56%</f>
        <v>5679.52</v>
      </c>
      <c r="C97" s="6"/>
      <c r="D97" s="28">
        <f>G97-B97</f>
        <v>4462.4799999999996</v>
      </c>
      <c r="E97" s="7" t="s">
        <v>8</v>
      </c>
      <c r="F97" s="7" t="s">
        <v>8</v>
      </c>
      <c r="G97" s="34">
        <f>10142-G93</f>
        <v>10142</v>
      </c>
      <c r="H97" s="35"/>
    </row>
    <row r="98" spans="1:11" ht="15.75" thickBot="1" x14ac:dyDescent="0.3">
      <c r="A98" s="3" t="s">
        <v>22</v>
      </c>
      <c r="B98" s="6">
        <f>G98*56%</f>
        <v>15363.600000000002</v>
      </c>
      <c r="C98" s="6"/>
      <c r="D98" s="28">
        <f>G98-B98</f>
        <v>12071.399999999998</v>
      </c>
      <c r="E98" s="7" t="s">
        <v>8</v>
      </c>
      <c r="F98" s="7" t="s">
        <v>8</v>
      </c>
      <c r="G98" s="34">
        <f>17114+3849+5801+671</f>
        <v>27435</v>
      </c>
      <c r="H98" s="35"/>
    </row>
    <row r="99" spans="1:11" ht="15.75" thickBot="1" x14ac:dyDescent="0.3">
      <c r="A99" s="3" t="s">
        <v>23</v>
      </c>
      <c r="B99" s="7" t="s">
        <v>8</v>
      </c>
      <c r="C99" s="11"/>
      <c r="D99" s="7" t="s">
        <v>8</v>
      </c>
      <c r="E99" s="7" t="s">
        <v>8</v>
      </c>
      <c r="F99" s="7" t="s">
        <v>8</v>
      </c>
      <c r="G99" s="38"/>
      <c r="H99" s="39"/>
    </row>
    <row r="100" spans="1:11" ht="15.75" thickBot="1" x14ac:dyDescent="0.3">
      <c r="A100" s="3" t="s">
        <v>24</v>
      </c>
      <c r="B100" s="6"/>
      <c r="C100" s="6"/>
      <c r="D100" s="6"/>
      <c r="E100" s="7" t="s">
        <v>8</v>
      </c>
      <c r="F100" s="7" t="s">
        <v>8</v>
      </c>
      <c r="G100" s="34"/>
      <c r="H100" s="35"/>
    </row>
    <row r="101" spans="1:11" ht="15.75" thickBot="1" x14ac:dyDescent="0.3">
      <c r="A101" s="4" t="s">
        <v>25</v>
      </c>
      <c r="B101" s="6">
        <f>SUM(B85:B100)</f>
        <v>108060.12</v>
      </c>
      <c r="C101" s="6"/>
      <c r="D101" s="6">
        <f>SUM(D85:D100)</f>
        <v>44945.87999999999</v>
      </c>
      <c r="E101" s="6">
        <f>SUM(E85:E100)</f>
        <v>21247</v>
      </c>
      <c r="F101" s="6"/>
      <c r="G101" s="34">
        <f>SUM(G85:H100)</f>
        <v>174634</v>
      </c>
      <c r="H101" s="35"/>
    </row>
    <row r="102" spans="1:11" x14ac:dyDescent="0.25">
      <c r="A102" s="36" t="s">
        <v>26</v>
      </c>
      <c r="B102" s="36"/>
      <c r="C102" s="36"/>
      <c r="D102" s="36"/>
      <c r="E102" s="36"/>
      <c r="F102" s="36"/>
      <c r="G102" s="36"/>
      <c r="H102" s="36"/>
    </row>
    <row r="103" spans="1:11" x14ac:dyDescent="0.25">
      <c r="A103" s="37" t="s">
        <v>27</v>
      </c>
      <c r="B103" s="37"/>
      <c r="C103" s="37"/>
      <c r="D103" s="37"/>
      <c r="E103" s="37"/>
      <c r="F103" s="37"/>
      <c r="G103" s="37"/>
      <c r="H103" s="37"/>
    </row>
    <row r="104" spans="1:11" x14ac:dyDescent="0.25">
      <c r="A104" s="37" t="s">
        <v>28</v>
      </c>
      <c r="B104" s="37"/>
      <c r="C104" s="37"/>
      <c r="D104" s="37"/>
      <c r="E104" s="37"/>
      <c r="F104" s="37"/>
      <c r="G104" s="37"/>
      <c r="H104" s="37"/>
      <c r="K104" s="9"/>
    </row>
    <row r="105" spans="1:11" x14ac:dyDescent="0.25">
      <c r="K105" s="9"/>
    </row>
    <row r="106" spans="1:11" x14ac:dyDescent="0.25">
      <c r="B106" s="9" t="s">
        <v>72</v>
      </c>
      <c r="C106" s="9">
        <v>76320</v>
      </c>
    </row>
    <row r="107" spans="1:11" x14ac:dyDescent="0.25">
      <c r="C107" s="9">
        <f>C106-B101</f>
        <v>-31740.119999999995</v>
      </c>
    </row>
    <row r="120" spans="1:8" x14ac:dyDescent="0.25">
      <c r="A120" s="29"/>
      <c r="B120" s="30"/>
      <c r="C120" s="30"/>
      <c r="D120" s="30"/>
      <c r="E120" s="56" t="s">
        <v>29</v>
      </c>
      <c r="F120" s="56"/>
      <c r="G120" s="56"/>
      <c r="H120" s="56"/>
    </row>
    <row r="121" spans="1:8" x14ac:dyDescent="0.25">
      <c r="A121" s="57"/>
      <c r="B121" s="58"/>
      <c r="C121" s="58"/>
      <c r="D121" s="59"/>
      <c r="E121" s="59" t="s">
        <v>0</v>
      </c>
      <c r="F121" s="59"/>
      <c r="G121" s="59"/>
      <c r="H121" s="59"/>
    </row>
    <row r="122" spans="1:8" x14ac:dyDescent="0.25">
      <c r="A122" s="57"/>
      <c r="B122" s="58"/>
      <c r="C122" s="58"/>
      <c r="D122" s="59"/>
      <c r="E122" s="70" t="s">
        <v>31</v>
      </c>
      <c r="F122" s="59"/>
      <c r="G122" s="59"/>
      <c r="H122" s="59"/>
    </row>
    <row r="123" spans="1:8" ht="15.75" thickBot="1" x14ac:dyDescent="0.3">
      <c r="A123" s="42" t="s">
        <v>71</v>
      </c>
      <c r="B123" s="42"/>
      <c r="C123" s="42"/>
      <c r="D123" s="42"/>
      <c r="E123" s="42"/>
      <c r="F123" s="42"/>
      <c r="G123" s="42"/>
      <c r="H123" s="42"/>
    </row>
    <row r="124" spans="1:8" x14ac:dyDescent="0.25">
      <c r="A124" s="44" t="s">
        <v>2</v>
      </c>
      <c r="B124" s="47" t="s">
        <v>30</v>
      </c>
      <c r="C124" s="48"/>
      <c r="D124" s="48"/>
      <c r="E124" s="48"/>
      <c r="F124" s="48"/>
      <c r="G124" s="49" t="s">
        <v>3</v>
      </c>
      <c r="H124" s="50"/>
    </row>
    <row r="125" spans="1:8" ht="135.75" thickBot="1" x14ac:dyDescent="0.3">
      <c r="A125" s="67"/>
      <c r="B125" s="49" t="s">
        <v>30</v>
      </c>
      <c r="C125" s="49"/>
      <c r="D125" s="14" t="s">
        <v>32</v>
      </c>
      <c r="E125" s="49" t="s">
        <v>4</v>
      </c>
      <c r="F125" s="49"/>
      <c r="G125" s="68"/>
      <c r="H125" s="53"/>
    </row>
    <row r="126" spans="1:8" ht="165.75" thickBot="1" x14ac:dyDescent="0.3">
      <c r="A126" s="46"/>
      <c r="B126" s="13" t="s">
        <v>36</v>
      </c>
      <c r="C126" s="27" t="s">
        <v>5</v>
      </c>
      <c r="D126" s="14" t="s">
        <v>33</v>
      </c>
      <c r="E126" s="27" t="s">
        <v>34</v>
      </c>
      <c r="F126" s="33" t="s">
        <v>35</v>
      </c>
      <c r="G126" s="54"/>
      <c r="H126" s="55"/>
    </row>
    <row r="127" spans="1:8" ht="15.75" thickBot="1" x14ac:dyDescent="0.3">
      <c r="A127" s="26">
        <v>1</v>
      </c>
      <c r="B127" s="33">
        <v>2</v>
      </c>
      <c r="C127" s="10">
        <v>3</v>
      </c>
      <c r="D127" s="33">
        <v>4</v>
      </c>
      <c r="E127" s="10">
        <v>5</v>
      </c>
      <c r="F127" s="33">
        <v>6</v>
      </c>
      <c r="G127" s="40" t="s">
        <v>6</v>
      </c>
      <c r="H127" s="41"/>
    </row>
    <row r="128" spans="1:8" ht="60.75" thickBot="1" x14ac:dyDescent="0.3">
      <c r="A128" s="2" t="s">
        <v>7</v>
      </c>
      <c r="B128" s="6">
        <f>B129</f>
        <v>73038.350000000006</v>
      </c>
      <c r="C128" s="11"/>
      <c r="D128" s="6">
        <f>D129</f>
        <v>21816.649999999994</v>
      </c>
      <c r="E128" s="7" t="s">
        <v>8</v>
      </c>
      <c r="F128" s="7" t="s">
        <v>8</v>
      </c>
      <c r="G128" s="34">
        <f>95456-601</f>
        <v>94855</v>
      </c>
      <c r="H128" s="35"/>
    </row>
    <row r="129" spans="1:9" ht="15.75" thickBot="1" x14ac:dyDescent="0.3">
      <c r="A129" s="3" t="s">
        <v>9</v>
      </c>
      <c r="B129" s="6">
        <f>G129*77%</f>
        <v>73038.350000000006</v>
      </c>
      <c r="C129" s="11"/>
      <c r="D129" s="28">
        <f>G129-B129</f>
        <v>21816.649999999994</v>
      </c>
      <c r="E129" s="7" t="s">
        <v>8</v>
      </c>
      <c r="F129" s="7" t="s">
        <v>8</v>
      </c>
      <c r="G129" s="34">
        <f>G128</f>
        <v>94855</v>
      </c>
      <c r="H129" s="35"/>
    </row>
    <row r="130" spans="1:9" ht="15.75" thickBot="1" x14ac:dyDescent="0.3">
      <c r="A130" s="2" t="s">
        <v>10</v>
      </c>
      <c r="B130" s="6">
        <v>0</v>
      </c>
      <c r="C130" s="11"/>
      <c r="D130" s="6">
        <v>0</v>
      </c>
      <c r="E130" s="7" t="s">
        <v>8</v>
      </c>
      <c r="F130" s="7" t="s">
        <v>8</v>
      </c>
      <c r="G130" s="34">
        <v>0</v>
      </c>
      <c r="H130" s="35"/>
    </row>
    <row r="131" spans="1:9" ht="60.75" thickBot="1" x14ac:dyDescent="0.3">
      <c r="A131" s="2" t="s">
        <v>11</v>
      </c>
      <c r="B131" s="6">
        <f t="shared" ref="B131" si="3">G131*77%</f>
        <v>37091.67</v>
      </c>
      <c r="C131" s="11"/>
      <c r="D131" s="28">
        <f>G131-B131</f>
        <v>11079.330000000002</v>
      </c>
      <c r="E131" s="7" t="s">
        <v>8</v>
      </c>
      <c r="F131" s="7" t="s">
        <v>8</v>
      </c>
      <c r="G131" s="34">
        <f>48480-309</f>
        <v>48171</v>
      </c>
      <c r="H131" s="35"/>
    </row>
    <row r="132" spans="1:9" ht="30.75" thickBot="1" x14ac:dyDescent="0.3">
      <c r="A132" s="2" t="s">
        <v>12</v>
      </c>
      <c r="B132" s="6">
        <f>G132*77%</f>
        <v>700.7</v>
      </c>
      <c r="C132" s="11"/>
      <c r="D132" s="28">
        <f>G132-B132</f>
        <v>209.29999999999995</v>
      </c>
      <c r="E132" s="7" t="s">
        <v>8</v>
      </c>
      <c r="F132" s="7" t="s">
        <v>8</v>
      </c>
      <c r="G132" s="34">
        <f>601+309</f>
        <v>910</v>
      </c>
      <c r="H132" s="35"/>
      <c r="I132" s="9">
        <f>G129+G131+G132</f>
        <v>143936</v>
      </c>
    </row>
    <row r="133" spans="1:9" ht="15.75" thickBot="1" x14ac:dyDescent="0.3">
      <c r="A133" s="2" t="s">
        <v>13</v>
      </c>
      <c r="B133" s="6">
        <f>G133*56%</f>
        <v>4521.4400000000005</v>
      </c>
      <c r="C133" s="6"/>
      <c r="D133" s="28">
        <f>G133-B133</f>
        <v>3552.5599999999995</v>
      </c>
      <c r="E133" s="7" t="s">
        <v>8</v>
      </c>
      <c r="F133" s="7" t="s">
        <v>8</v>
      </c>
      <c r="G133" s="34">
        <f>817+7257</f>
        <v>8074</v>
      </c>
      <c r="H133" s="35"/>
    </row>
    <row r="134" spans="1:9" ht="30.75" thickBot="1" x14ac:dyDescent="0.3">
      <c r="A134" s="2" t="s">
        <v>14</v>
      </c>
      <c r="B134" s="6">
        <f>G134*56%</f>
        <v>2304.4</v>
      </c>
      <c r="C134" s="6"/>
      <c r="D134" s="28">
        <f>G134-B134</f>
        <v>1810.6</v>
      </c>
      <c r="E134" s="7" t="s">
        <v>8</v>
      </c>
      <c r="F134" s="7" t="s">
        <v>8</v>
      </c>
      <c r="G134" s="34">
        <f>12189-G133</f>
        <v>4115</v>
      </c>
      <c r="H134" s="35"/>
    </row>
    <row r="135" spans="1:9" ht="45.75" thickBot="1" x14ac:dyDescent="0.3">
      <c r="A135" s="2" t="s">
        <v>15</v>
      </c>
      <c r="B135" s="7" t="s">
        <v>8</v>
      </c>
      <c r="C135" s="7" t="s">
        <v>8</v>
      </c>
      <c r="D135" s="6"/>
      <c r="E135" s="7" t="s">
        <v>8</v>
      </c>
      <c r="F135" s="7" t="s">
        <v>8</v>
      </c>
      <c r="G135" s="34"/>
      <c r="H135" s="35"/>
    </row>
    <row r="136" spans="1:9" ht="15.75" thickBot="1" x14ac:dyDescent="0.3">
      <c r="A136" s="2" t="s">
        <v>16</v>
      </c>
      <c r="B136" s="7" t="s">
        <v>8</v>
      </c>
      <c r="C136" s="7" t="s">
        <v>8</v>
      </c>
      <c r="D136" s="11"/>
      <c r="E136" s="6">
        <v>0</v>
      </c>
      <c r="F136" s="6"/>
      <c r="G136" s="34">
        <v>0</v>
      </c>
      <c r="H136" s="35"/>
    </row>
    <row r="137" spans="1:9" ht="15.75" thickBot="1" x14ac:dyDescent="0.3">
      <c r="A137" s="3" t="s">
        <v>17</v>
      </c>
      <c r="B137" s="6">
        <f>G137*56%</f>
        <v>0</v>
      </c>
      <c r="C137" s="7"/>
      <c r="D137" s="6"/>
      <c r="E137" s="6">
        <f>G137-B137</f>
        <v>0</v>
      </c>
      <c r="F137" s="6"/>
      <c r="G137" s="34">
        <v>0</v>
      </c>
      <c r="H137" s="35"/>
    </row>
    <row r="138" spans="1:9" ht="15.75" thickBot="1" x14ac:dyDescent="0.3">
      <c r="A138" s="3" t="s">
        <v>18</v>
      </c>
      <c r="B138" s="6"/>
      <c r="C138" s="7"/>
      <c r="D138" s="7"/>
      <c r="E138" s="6"/>
      <c r="F138" s="6"/>
      <c r="G138" s="34"/>
      <c r="H138" s="35"/>
    </row>
    <row r="139" spans="1:9" ht="45.75" thickBot="1" x14ac:dyDescent="0.3">
      <c r="A139" s="2" t="s">
        <v>19</v>
      </c>
      <c r="B139" s="6"/>
      <c r="C139" s="7"/>
      <c r="D139" s="6"/>
      <c r="E139" s="6"/>
      <c r="F139" s="6"/>
      <c r="G139" s="38"/>
      <c r="H139" s="39"/>
    </row>
    <row r="140" spans="1:9" ht="30.75" thickBot="1" x14ac:dyDescent="0.3">
      <c r="A140" s="2" t="s">
        <v>20</v>
      </c>
      <c r="B140" s="6"/>
      <c r="C140" s="7"/>
      <c r="D140" s="6"/>
      <c r="E140" s="6">
        <v>28460</v>
      </c>
      <c r="F140" s="6"/>
      <c r="G140" s="34">
        <v>28797</v>
      </c>
      <c r="H140" s="35"/>
    </row>
    <row r="141" spans="1:9" ht="30.75" thickBot="1" x14ac:dyDescent="0.3">
      <c r="A141" s="2" t="s">
        <v>21</v>
      </c>
      <c r="B141" s="6">
        <f>G141*56%</f>
        <v>7386.4000000000005</v>
      </c>
      <c r="C141" s="6"/>
      <c r="D141" s="28">
        <f>G141-B141</f>
        <v>5803.5999999999995</v>
      </c>
      <c r="E141" s="7" t="s">
        <v>8</v>
      </c>
      <c r="F141" s="7" t="s">
        <v>8</v>
      </c>
      <c r="G141" s="34">
        <f>13190-G137</f>
        <v>13190</v>
      </c>
      <c r="H141" s="35"/>
    </row>
    <row r="142" spans="1:9" ht="15.75" thickBot="1" x14ac:dyDescent="0.3">
      <c r="A142" s="3" t="s">
        <v>22</v>
      </c>
      <c r="B142" s="6">
        <f>G142*56%</f>
        <v>16262.400000000001</v>
      </c>
      <c r="C142" s="6"/>
      <c r="D142" s="28">
        <f>G142-B142</f>
        <v>12777.599999999999</v>
      </c>
      <c r="E142" s="7" t="s">
        <v>8</v>
      </c>
      <c r="F142" s="7" t="s">
        <v>8</v>
      </c>
      <c r="G142" s="34">
        <f>17114+3849+7050+1027</f>
        <v>29040</v>
      </c>
      <c r="H142" s="35"/>
    </row>
    <row r="143" spans="1:9" ht="15.75" thickBot="1" x14ac:dyDescent="0.3">
      <c r="A143" s="3" t="s">
        <v>23</v>
      </c>
      <c r="B143" s="7" t="s">
        <v>8</v>
      </c>
      <c r="C143" s="11"/>
      <c r="D143" s="7" t="s">
        <v>8</v>
      </c>
      <c r="E143" s="7" t="s">
        <v>8</v>
      </c>
      <c r="F143" s="7" t="s">
        <v>8</v>
      </c>
      <c r="G143" s="38"/>
      <c r="H143" s="39"/>
    </row>
    <row r="144" spans="1:9" ht="15.75" thickBot="1" x14ac:dyDescent="0.3">
      <c r="A144" s="3" t="s">
        <v>24</v>
      </c>
      <c r="B144" s="6"/>
      <c r="C144" s="6"/>
      <c r="D144" s="6"/>
      <c r="E144" s="7" t="s">
        <v>8</v>
      </c>
      <c r="F144" s="7" t="s">
        <v>8</v>
      </c>
      <c r="G144" s="34"/>
      <c r="H144" s="35"/>
    </row>
    <row r="145" spans="1:11" ht="15.75" thickBot="1" x14ac:dyDescent="0.3">
      <c r="A145" s="4" t="s">
        <v>25</v>
      </c>
      <c r="B145" s="6">
        <f>SUM(B129:B144)</f>
        <v>141305.35999999999</v>
      </c>
      <c r="C145" s="6"/>
      <c r="D145" s="6">
        <f>SUM(D129:D144)</f>
        <v>57049.639999999992</v>
      </c>
      <c r="E145" s="6">
        <f>SUM(E129:E144)</f>
        <v>28460</v>
      </c>
      <c r="F145" s="6"/>
      <c r="G145" s="34">
        <f>SUM(G129:H144)</f>
        <v>227152</v>
      </c>
      <c r="H145" s="35"/>
      <c r="I145" s="9"/>
    </row>
    <row r="146" spans="1:11" x14ac:dyDescent="0.25">
      <c r="A146" s="36" t="s">
        <v>26</v>
      </c>
      <c r="B146" s="36"/>
      <c r="C146" s="36"/>
      <c r="D146" s="36"/>
      <c r="E146" s="36"/>
      <c r="F146" s="36"/>
      <c r="G146" s="36"/>
      <c r="H146" s="36"/>
    </row>
    <row r="147" spans="1:11" x14ac:dyDescent="0.25">
      <c r="A147" s="37" t="s">
        <v>27</v>
      </c>
      <c r="B147" s="37"/>
      <c r="C147" s="37"/>
      <c r="D147" s="37"/>
      <c r="E147" s="37"/>
      <c r="F147" s="37"/>
      <c r="G147" s="37"/>
      <c r="H147" s="37"/>
    </row>
    <row r="148" spans="1:11" x14ac:dyDescent="0.25">
      <c r="A148" s="37" t="s">
        <v>28</v>
      </c>
      <c r="B148" s="37"/>
      <c r="C148" s="37"/>
      <c r="D148" s="37"/>
      <c r="E148" s="37"/>
      <c r="F148" s="37"/>
      <c r="G148" s="37"/>
      <c r="H148" s="37"/>
      <c r="K148" s="9"/>
    </row>
    <row r="149" spans="1:11" x14ac:dyDescent="0.25">
      <c r="B149" s="9" t="s">
        <v>73</v>
      </c>
      <c r="C149" s="9">
        <v>106220</v>
      </c>
      <c r="K149" s="9"/>
    </row>
    <row r="150" spans="1:11" x14ac:dyDescent="0.25">
      <c r="C150" s="9">
        <f>C149-B145</f>
        <v>-35085.359999999986</v>
      </c>
    </row>
    <row r="155" spans="1:11" x14ac:dyDescent="0.25">
      <c r="A155" s="29"/>
      <c r="B155" s="30"/>
      <c r="C155" s="30"/>
      <c r="D155" s="30"/>
      <c r="E155" s="56" t="s">
        <v>29</v>
      </c>
      <c r="F155" s="56"/>
      <c r="G155" s="56"/>
      <c r="H155" s="56"/>
    </row>
    <row r="156" spans="1:11" x14ac:dyDescent="0.25">
      <c r="A156" s="57"/>
      <c r="B156" s="58"/>
      <c r="C156" s="58"/>
      <c r="D156" s="59"/>
      <c r="E156" s="59" t="s">
        <v>0</v>
      </c>
      <c r="F156" s="59"/>
      <c r="G156" s="59"/>
      <c r="H156" s="59"/>
    </row>
    <row r="157" spans="1:11" x14ac:dyDescent="0.25">
      <c r="A157" s="57"/>
      <c r="B157" s="58"/>
      <c r="C157" s="58"/>
      <c r="D157" s="59"/>
      <c r="E157" s="70" t="s">
        <v>31</v>
      </c>
      <c r="F157" s="59"/>
      <c r="G157" s="59"/>
      <c r="H157" s="59"/>
    </row>
    <row r="158" spans="1:11" ht="15.75" thickBot="1" x14ac:dyDescent="0.3">
      <c r="A158" s="42" t="s">
        <v>74</v>
      </c>
      <c r="B158" s="42"/>
      <c r="C158" s="42"/>
      <c r="D158" s="42"/>
      <c r="E158" s="42"/>
      <c r="F158" s="42"/>
      <c r="G158" s="42"/>
      <c r="H158" s="42"/>
    </row>
    <row r="159" spans="1:11" x14ac:dyDescent="0.25">
      <c r="A159" s="44" t="s">
        <v>2</v>
      </c>
      <c r="B159" s="47" t="s">
        <v>30</v>
      </c>
      <c r="C159" s="48"/>
      <c r="D159" s="48"/>
      <c r="E159" s="48"/>
      <c r="F159" s="48"/>
      <c r="G159" s="49" t="s">
        <v>3</v>
      </c>
      <c r="H159" s="50"/>
    </row>
    <row r="160" spans="1:11" ht="135.75" thickBot="1" x14ac:dyDescent="0.3">
      <c r="A160" s="67"/>
      <c r="B160" s="49" t="s">
        <v>30</v>
      </c>
      <c r="C160" s="49"/>
      <c r="D160" s="14" t="s">
        <v>32</v>
      </c>
      <c r="E160" s="49" t="s">
        <v>4</v>
      </c>
      <c r="F160" s="49"/>
      <c r="G160" s="68"/>
      <c r="H160" s="53"/>
    </row>
    <row r="161" spans="1:9" ht="165.75" thickBot="1" x14ac:dyDescent="0.3">
      <c r="A161" s="46"/>
      <c r="B161" s="13" t="s">
        <v>36</v>
      </c>
      <c r="C161" s="27" t="s">
        <v>5</v>
      </c>
      <c r="D161" s="14" t="s">
        <v>33</v>
      </c>
      <c r="E161" s="27" t="s">
        <v>34</v>
      </c>
      <c r="F161" s="33" t="s">
        <v>35</v>
      </c>
      <c r="G161" s="54"/>
      <c r="H161" s="55"/>
    </row>
    <row r="162" spans="1:9" ht="15.75" thickBot="1" x14ac:dyDescent="0.3">
      <c r="A162" s="26">
        <v>1</v>
      </c>
      <c r="B162" s="33">
        <v>2</v>
      </c>
      <c r="C162" s="10">
        <v>3</v>
      </c>
      <c r="D162" s="33">
        <v>4</v>
      </c>
      <c r="E162" s="10">
        <v>5</v>
      </c>
      <c r="F162" s="33">
        <v>6</v>
      </c>
      <c r="G162" s="40" t="s">
        <v>6</v>
      </c>
      <c r="H162" s="41"/>
    </row>
    <row r="163" spans="1:9" ht="60.75" thickBot="1" x14ac:dyDescent="0.3">
      <c r="A163" s="2" t="s">
        <v>7</v>
      </c>
      <c r="B163" s="6">
        <f>B164</f>
        <v>91667.73</v>
      </c>
      <c r="C163" s="11"/>
      <c r="D163" s="6">
        <f>D164</f>
        <v>27381.270000000004</v>
      </c>
      <c r="E163" s="7" t="s">
        <v>8</v>
      </c>
      <c r="F163" s="7" t="s">
        <v>8</v>
      </c>
      <c r="G163" s="34">
        <f>119802-753</f>
        <v>119049</v>
      </c>
      <c r="H163" s="35"/>
    </row>
    <row r="164" spans="1:9" ht="15.75" thickBot="1" x14ac:dyDescent="0.3">
      <c r="A164" s="3" t="s">
        <v>9</v>
      </c>
      <c r="B164" s="6">
        <f>G164*77%</f>
        <v>91667.73</v>
      </c>
      <c r="C164" s="11"/>
      <c r="D164" s="28">
        <f>G164-B164</f>
        <v>27381.270000000004</v>
      </c>
      <c r="E164" s="7" t="s">
        <v>8</v>
      </c>
      <c r="F164" s="7" t="s">
        <v>8</v>
      </c>
      <c r="G164" s="34">
        <f>G163</f>
        <v>119049</v>
      </c>
      <c r="H164" s="35"/>
    </row>
    <row r="165" spans="1:9" ht="15.75" thickBot="1" x14ac:dyDescent="0.3">
      <c r="A165" s="2" t="s">
        <v>10</v>
      </c>
      <c r="B165" s="6">
        <v>0</v>
      </c>
      <c r="C165" s="11"/>
      <c r="D165" s="6">
        <v>0</v>
      </c>
      <c r="E165" s="7" t="s">
        <v>8</v>
      </c>
      <c r="F165" s="7" t="s">
        <v>8</v>
      </c>
      <c r="G165" s="34">
        <v>0</v>
      </c>
      <c r="H165" s="35"/>
    </row>
    <row r="166" spans="1:9" ht="60.75" thickBot="1" x14ac:dyDescent="0.3">
      <c r="A166" s="2" t="s">
        <v>11</v>
      </c>
      <c r="B166" s="6">
        <f>G166*77%</f>
        <v>46436.39</v>
      </c>
      <c r="C166" s="11"/>
      <c r="D166" s="28">
        <f>G166-B166</f>
        <v>13870.61</v>
      </c>
      <c r="E166" s="7" t="s">
        <v>8</v>
      </c>
      <c r="F166" s="7" t="s">
        <v>8</v>
      </c>
      <c r="G166" s="34">
        <f>60700-393</f>
        <v>60307</v>
      </c>
      <c r="H166" s="35"/>
    </row>
    <row r="167" spans="1:9" ht="30.75" thickBot="1" x14ac:dyDescent="0.3">
      <c r="A167" s="2" t="s">
        <v>12</v>
      </c>
      <c r="B167" s="6">
        <f>G167*77%</f>
        <v>882.42000000000007</v>
      </c>
      <c r="C167" s="11"/>
      <c r="D167" s="28">
        <f>G167-B167</f>
        <v>263.57999999999993</v>
      </c>
      <c r="E167" s="7" t="s">
        <v>8</v>
      </c>
      <c r="F167" s="7" t="s">
        <v>8</v>
      </c>
      <c r="G167" s="34">
        <f>753+393</f>
        <v>1146</v>
      </c>
      <c r="H167" s="35"/>
      <c r="I167" s="9">
        <f>G164+G166+G167</f>
        <v>180502</v>
      </c>
    </row>
    <row r="168" spans="1:9" ht="15.75" thickBot="1" x14ac:dyDescent="0.3">
      <c r="A168" s="2" t="s">
        <v>13</v>
      </c>
      <c r="B168" s="6">
        <f>G168*56%</f>
        <v>4894.96</v>
      </c>
      <c r="C168" s="6"/>
      <c r="D168" s="28">
        <f>G168-B168</f>
        <v>3846.04</v>
      </c>
      <c r="E168" s="7" t="s">
        <v>8</v>
      </c>
      <c r="F168" s="7" t="s">
        <v>8</v>
      </c>
      <c r="G168" s="34">
        <f>1484+7257</f>
        <v>8741</v>
      </c>
      <c r="H168" s="35"/>
    </row>
    <row r="169" spans="1:9" ht="30.75" thickBot="1" x14ac:dyDescent="0.3">
      <c r="A169" s="2" t="s">
        <v>14</v>
      </c>
      <c r="B169" s="6">
        <f>G169*56%</f>
        <v>2335.7600000000002</v>
      </c>
      <c r="C169" s="6"/>
      <c r="D169" s="28">
        <f>G169-B169</f>
        <v>1835.2399999999998</v>
      </c>
      <c r="E169" s="7" t="s">
        <v>8</v>
      </c>
      <c r="F169" s="7" t="s">
        <v>8</v>
      </c>
      <c r="G169" s="34">
        <f>12912-G168</f>
        <v>4171</v>
      </c>
      <c r="H169" s="35"/>
    </row>
    <row r="170" spans="1:9" ht="45.75" thickBot="1" x14ac:dyDescent="0.3">
      <c r="A170" s="2" t="s">
        <v>15</v>
      </c>
      <c r="B170" s="7" t="s">
        <v>8</v>
      </c>
      <c r="C170" s="7" t="s">
        <v>8</v>
      </c>
      <c r="D170" s="6"/>
      <c r="E170" s="7" t="s">
        <v>8</v>
      </c>
      <c r="F170" s="7" t="s">
        <v>8</v>
      </c>
      <c r="G170" s="34"/>
      <c r="H170" s="35"/>
    </row>
    <row r="171" spans="1:9" ht="15.75" thickBot="1" x14ac:dyDescent="0.3">
      <c r="A171" s="2" t="s">
        <v>16</v>
      </c>
      <c r="B171" s="7" t="s">
        <v>8</v>
      </c>
      <c r="C171" s="7" t="s">
        <v>8</v>
      </c>
      <c r="D171" s="11"/>
      <c r="E171" s="6">
        <v>390</v>
      </c>
      <c r="F171" s="6"/>
      <c r="G171" s="34">
        <v>390</v>
      </c>
      <c r="H171" s="35"/>
    </row>
    <row r="172" spans="1:9" ht="15.75" thickBot="1" x14ac:dyDescent="0.3">
      <c r="A172" s="3" t="s">
        <v>17</v>
      </c>
      <c r="B172" s="6">
        <f>G172*56%</f>
        <v>0</v>
      </c>
      <c r="C172" s="7"/>
      <c r="D172" s="6"/>
      <c r="E172" s="6">
        <f>G172-B172</f>
        <v>0</v>
      </c>
      <c r="F172" s="6"/>
      <c r="G172" s="34">
        <v>0</v>
      </c>
      <c r="H172" s="35"/>
    </row>
    <row r="173" spans="1:9" ht="15.75" thickBot="1" x14ac:dyDescent="0.3">
      <c r="A173" s="3" t="s">
        <v>18</v>
      </c>
      <c r="B173" s="6"/>
      <c r="C173" s="7"/>
      <c r="D173" s="7"/>
      <c r="E173" s="6"/>
      <c r="F173" s="6"/>
      <c r="G173" s="34"/>
      <c r="H173" s="35"/>
    </row>
    <row r="174" spans="1:9" ht="45.75" thickBot="1" x14ac:dyDescent="0.3">
      <c r="A174" s="2" t="s">
        <v>19</v>
      </c>
      <c r="B174" s="6"/>
      <c r="C174" s="7"/>
      <c r="D174" s="6"/>
      <c r="E174" s="6"/>
      <c r="F174" s="6"/>
      <c r="G174" s="38"/>
      <c r="H174" s="39"/>
    </row>
    <row r="175" spans="1:9" ht="30.75" thickBot="1" x14ac:dyDescent="0.3">
      <c r="A175" s="2" t="s">
        <v>20</v>
      </c>
      <c r="B175" s="6"/>
      <c r="C175" s="7"/>
      <c r="D175" s="6"/>
      <c r="E175" s="6">
        <v>35673</v>
      </c>
      <c r="F175" s="6"/>
      <c r="G175" s="34">
        <v>35966</v>
      </c>
      <c r="H175" s="35"/>
    </row>
    <row r="176" spans="1:9" ht="30.75" thickBot="1" x14ac:dyDescent="0.3">
      <c r="A176" s="2" t="s">
        <v>21</v>
      </c>
      <c r="B176" s="6">
        <f>G176*56%</f>
        <v>10933.44</v>
      </c>
      <c r="C176" s="6"/>
      <c r="D176" s="28">
        <f>G176-B176</f>
        <v>8590.56</v>
      </c>
      <c r="E176" s="7" t="s">
        <v>8</v>
      </c>
      <c r="F176" s="7" t="s">
        <v>8</v>
      </c>
      <c r="G176" s="34">
        <f>19914-G171</f>
        <v>19524</v>
      </c>
      <c r="H176" s="35"/>
    </row>
    <row r="177" spans="1:11" ht="15.75" thickBot="1" x14ac:dyDescent="0.3">
      <c r="A177" s="3" t="s">
        <v>22</v>
      </c>
      <c r="B177" s="6">
        <f>G177*56%</f>
        <v>16965.2</v>
      </c>
      <c r="C177" s="6"/>
      <c r="D177" s="28">
        <f>G177-B177</f>
        <v>13329.8</v>
      </c>
      <c r="E177" s="7" t="s">
        <v>8</v>
      </c>
      <c r="F177" s="7" t="s">
        <v>8</v>
      </c>
      <c r="G177" s="34">
        <f>17114+3849+8246+1086</f>
        <v>30295</v>
      </c>
      <c r="H177" s="35"/>
    </row>
    <row r="178" spans="1:11" ht="15.75" thickBot="1" x14ac:dyDescent="0.3">
      <c r="A178" s="3" t="s">
        <v>23</v>
      </c>
      <c r="B178" s="7" t="s">
        <v>8</v>
      </c>
      <c r="C178" s="11"/>
      <c r="D178" s="7" t="s">
        <v>8</v>
      </c>
      <c r="E178" s="7" t="s">
        <v>8</v>
      </c>
      <c r="F178" s="7" t="s">
        <v>8</v>
      </c>
      <c r="G178" s="38"/>
      <c r="H178" s="39"/>
    </row>
    <row r="179" spans="1:11" ht="15.75" thickBot="1" x14ac:dyDescent="0.3">
      <c r="A179" s="3" t="s">
        <v>24</v>
      </c>
      <c r="B179" s="6"/>
      <c r="C179" s="6"/>
      <c r="D179" s="6"/>
      <c r="E179" s="7" t="s">
        <v>8</v>
      </c>
      <c r="F179" s="7" t="s">
        <v>8</v>
      </c>
      <c r="G179" s="34"/>
      <c r="H179" s="35"/>
    </row>
    <row r="180" spans="1:11" ht="15.75" thickBot="1" x14ac:dyDescent="0.3">
      <c r="A180" s="4" t="s">
        <v>25</v>
      </c>
      <c r="B180" s="6">
        <f>SUM(B164:B179)</f>
        <v>174115.90000000002</v>
      </c>
      <c r="C180" s="6"/>
      <c r="D180" s="6">
        <f>SUM(D164:D179)</f>
        <v>69117.100000000006</v>
      </c>
      <c r="E180" s="6">
        <f>SUM(E164:E179)</f>
        <v>36063</v>
      </c>
      <c r="F180" s="6"/>
      <c r="G180" s="34">
        <f>SUM(G164:H179)</f>
        <v>279589</v>
      </c>
      <c r="H180" s="35"/>
    </row>
    <row r="181" spans="1:11" x14ac:dyDescent="0.25">
      <c r="A181" s="36" t="s">
        <v>26</v>
      </c>
      <c r="B181" s="36"/>
      <c r="C181" s="36"/>
      <c r="D181" s="36"/>
      <c r="E181" s="36"/>
      <c r="F181" s="36"/>
      <c r="G181" s="36"/>
      <c r="H181" s="36"/>
    </row>
    <row r="182" spans="1:11" x14ac:dyDescent="0.25">
      <c r="A182" s="37" t="s">
        <v>27</v>
      </c>
      <c r="B182" s="37"/>
      <c r="C182" s="37"/>
      <c r="D182" s="37"/>
      <c r="E182" s="37"/>
      <c r="F182" s="37"/>
      <c r="G182" s="37"/>
      <c r="H182" s="37"/>
    </row>
    <row r="183" spans="1:11" x14ac:dyDescent="0.25">
      <c r="A183" s="37" t="s">
        <v>28</v>
      </c>
      <c r="B183" s="37"/>
      <c r="C183" s="37"/>
      <c r="D183" s="37"/>
      <c r="E183" s="37"/>
      <c r="F183" s="37"/>
      <c r="G183" s="37"/>
      <c r="H183" s="37"/>
      <c r="K183" s="9"/>
    </row>
    <row r="184" spans="1:11" x14ac:dyDescent="0.25">
      <c r="B184" s="9" t="s">
        <v>75</v>
      </c>
      <c r="C184" s="9">
        <v>173313</v>
      </c>
      <c r="K184" s="9"/>
    </row>
    <row r="185" spans="1:11" x14ac:dyDescent="0.25">
      <c r="C185" s="9">
        <f>C184-B180</f>
        <v>-802.90000000002328</v>
      </c>
    </row>
    <row r="189" spans="1:11" x14ac:dyDescent="0.25">
      <c r="A189" s="29"/>
      <c r="B189" s="30"/>
      <c r="C189" s="30"/>
      <c r="D189" s="30"/>
      <c r="E189" s="56" t="s">
        <v>29</v>
      </c>
      <c r="F189" s="56"/>
      <c r="G189" s="56"/>
      <c r="H189" s="56"/>
    </row>
    <row r="190" spans="1:11" x14ac:dyDescent="0.25">
      <c r="A190" s="57"/>
      <c r="B190" s="58"/>
      <c r="C190" s="58"/>
      <c r="D190" s="59"/>
      <c r="E190" s="59" t="s">
        <v>0</v>
      </c>
      <c r="F190" s="59"/>
      <c r="G190" s="59"/>
      <c r="H190" s="59"/>
    </row>
    <row r="191" spans="1:11" x14ac:dyDescent="0.25">
      <c r="A191" s="57"/>
      <c r="B191" s="58"/>
      <c r="C191" s="58"/>
      <c r="D191" s="59"/>
      <c r="E191" s="70" t="s">
        <v>31</v>
      </c>
      <c r="F191" s="59"/>
      <c r="G191" s="59"/>
      <c r="H191" s="59"/>
    </row>
    <row r="192" spans="1:11" ht="15.75" thickBot="1" x14ac:dyDescent="0.3">
      <c r="A192" s="42" t="s">
        <v>76</v>
      </c>
      <c r="B192" s="42"/>
      <c r="C192" s="42"/>
      <c r="D192" s="42"/>
      <c r="E192" s="42"/>
      <c r="F192" s="42"/>
      <c r="G192" s="42"/>
      <c r="H192" s="42"/>
    </row>
    <row r="193" spans="1:9" x14ac:dyDescent="0.25">
      <c r="A193" s="44" t="s">
        <v>2</v>
      </c>
      <c r="B193" s="47" t="s">
        <v>30</v>
      </c>
      <c r="C193" s="48"/>
      <c r="D193" s="48"/>
      <c r="E193" s="48"/>
      <c r="F193" s="48"/>
      <c r="G193" s="49" t="s">
        <v>3</v>
      </c>
      <c r="H193" s="50"/>
    </row>
    <row r="194" spans="1:9" ht="135.75" thickBot="1" x14ac:dyDescent="0.3">
      <c r="A194" s="67"/>
      <c r="B194" s="49" t="s">
        <v>30</v>
      </c>
      <c r="C194" s="49"/>
      <c r="D194" s="14" t="s">
        <v>32</v>
      </c>
      <c r="E194" s="49" t="s">
        <v>4</v>
      </c>
      <c r="F194" s="49"/>
      <c r="G194" s="68"/>
      <c r="H194" s="53"/>
    </row>
    <row r="195" spans="1:9" ht="165.75" thickBot="1" x14ac:dyDescent="0.3">
      <c r="A195" s="46"/>
      <c r="B195" s="13" t="s">
        <v>36</v>
      </c>
      <c r="C195" s="27" t="s">
        <v>5</v>
      </c>
      <c r="D195" s="14" t="s">
        <v>33</v>
      </c>
      <c r="E195" s="27" t="s">
        <v>34</v>
      </c>
      <c r="F195" s="33" t="s">
        <v>35</v>
      </c>
      <c r="G195" s="54"/>
      <c r="H195" s="55"/>
    </row>
    <row r="196" spans="1:9" ht="15.75" thickBot="1" x14ac:dyDescent="0.3">
      <c r="A196" s="26">
        <v>1</v>
      </c>
      <c r="B196" s="33">
        <v>2</v>
      </c>
      <c r="C196" s="10">
        <v>3</v>
      </c>
      <c r="D196" s="33">
        <v>4</v>
      </c>
      <c r="E196" s="10">
        <v>5</v>
      </c>
      <c r="F196" s="33">
        <v>6</v>
      </c>
      <c r="G196" s="40" t="s">
        <v>6</v>
      </c>
      <c r="H196" s="41"/>
    </row>
    <row r="197" spans="1:9" ht="60.75" thickBot="1" x14ac:dyDescent="0.3">
      <c r="A197" s="2" t="s">
        <v>7</v>
      </c>
      <c r="B197" s="6">
        <f>B198</f>
        <v>110417.23</v>
      </c>
      <c r="C197" s="11"/>
      <c r="D197" s="6">
        <f>D198</f>
        <v>32981.770000000004</v>
      </c>
      <c r="E197" s="7" t="s">
        <v>8</v>
      </c>
      <c r="F197" s="7" t="s">
        <v>8</v>
      </c>
      <c r="G197" s="34">
        <f>145229-920-910</f>
        <v>143399</v>
      </c>
      <c r="H197" s="35"/>
    </row>
    <row r="198" spans="1:9" ht="15.75" thickBot="1" x14ac:dyDescent="0.3">
      <c r="A198" s="3" t="s">
        <v>9</v>
      </c>
      <c r="B198" s="6">
        <f>G198*77%</f>
        <v>110417.23</v>
      </c>
      <c r="C198" s="11"/>
      <c r="D198" s="28">
        <f>G198-B198</f>
        <v>32981.770000000004</v>
      </c>
      <c r="E198" s="7" t="s">
        <v>8</v>
      </c>
      <c r="F198" s="7" t="s">
        <v>8</v>
      </c>
      <c r="G198" s="34">
        <f>G197</f>
        <v>143399</v>
      </c>
      <c r="H198" s="35"/>
    </row>
    <row r="199" spans="1:9" ht="15.75" thickBot="1" x14ac:dyDescent="0.3">
      <c r="A199" s="2" t="s">
        <v>10</v>
      </c>
      <c r="B199" s="6">
        <v>0</v>
      </c>
      <c r="C199" s="11"/>
      <c r="D199" s="6">
        <v>0</v>
      </c>
      <c r="E199" s="7" t="s">
        <v>8</v>
      </c>
      <c r="F199" s="7" t="s">
        <v>8</v>
      </c>
      <c r="G199" s="34">
        <v>0</v>
      </c>
      <c r="H199" s="35"/>
    </row>
    <row r="200" spans="1:9" ht="60.75" thickBot="1" x14ac:dyDescent="0.3">
      <c r="A200" s="2" t="s">
        <v>11</v>
      </c>
      <c r="B200" s="6">
        <f>G200*77%</f>
        <v>55803.44</v>
      </c>
      <c r="C200" s="11"/>
      <c r="D200" s="28">
        <f>G200-B200</f>
        <v>16668.559999999998</v>
      </c>
      <c r="E200" s="7" t="s">
        <v>8</v>
      </c>
      <c r="F200" s="7" t="s">
        <v>8</v>
      </c>
      <c r="G200" s="34">
        <f>72949-477</f>
        <v>72472</v>
      </c>
      <c r="H200" s="35"/>
    </row>
    <row r="201" spans="1:9" ht="30.75" thickBot="1" x14ac:dyDescent="0.3">
      <c r="A201" s="2" t="s">
        <v>12</v>
      </c>
      <c r="B201" s="6">
        <f>G201*77%</f>
        <v>1776.39</v>
      </c>
      <c r="C201" s="11"/>
      <c r="D201" s="28">
        <f>G201-B201</f>
        <v>530.6099999999999</v>
      </c>
      <c r="E201" s="7" t="s">
        <v>8</v>
      </c>
      <c r="F201" s="7" t="s">
        <v>8</v>
      </c>
      <c r="G201" s="34">
        <f>477+920+910</f>
        <v>2307</v>
      </c>
      <c r="H201" s="35"/>
      <c r="I201" s="9">
        <f>G198+G200+G201</f>
        <v>218178</v>
      </c>
    </row>
    <row r="202" spans="1:9" ht="15.75" thickBot="1" x14ac:dyDescent="0.3">
      <c r="A202" s="2" t="s">
        <v>13</v>
      </c>
      <c r="B202" s="6">
        <f>G202*56%</f>
        <v>5249.4400000000005</v>
      </c>
      <c r="C202" s="6"/>
      <c r="D202" s="28">
        <f>G202-B202</f>
        <v>4124.5599999999995</v>
      </c>
      <c r="E202" s="7" t="s">
        <v>8</v>
      </c>
      <c r="F202" s="7" t="s">
        <v>8</v>
      </c>
      <c r="G202" s="34">
        <f>1484+7890</f>
        <v>9374</v>
      </c>
      <c r="H202" s="35"/>
    </row>
    <row r="203" spans="1:9" ht="30.75" thickBot="1" x14ac:dyDescent="0.3">
      <c r="A203" s="2" t="s">
        <v>14</v>
      </c>
      <c r="B203" s="6">
        <f>G203*56%</f>
        <v>2336.3200000000002</v>
      </c>
      <c r="C203" s="6"/>
      <c r="D203" s="28">
        <f>G203-B203</f>
        <v>1835.6799999999998</v>
      </c>
      <c r="E203" s="7" t="s">
        <v>8</v>
      </c>
      <c r="F203" s="7" t="s">
        <v>8</v>
      </c>
      <c r="G203" s="34">
        <f>13546-G202</f>
        <v>4172</v>
      </c>
      <c r="H203" s="35"/>
    </row>
    <row r="204" spans="1:9" ht="45.75" thickBot="1" x14ac:dyDescent="0.3">
      <c r="A204" s="2" t="s">
        <v>15</v>
      </c>
      <c r="B204" s="7" t="s">
        <v>8</v>
      </c>
      <c r="C204" s="7" t="s">
        <v>8</v>
      </c>
      <c r="D204" s="6"/>
      <c r="E204" s="7" t="s">
        <v>8</v>
      </c>
      <c r="F204" s="7" t="s">
        <v>8</v>
      </c>
      <c r="G204" s="34">
        <v>0</v>
      </c>
      <c r="H204" s="35"/>
    </row>
    <row r="205" spans="1:9" ht="15.75" thickBot="1" x14ac:dyDescent="0.3">
      <c r="A205" s="2" t="s">
        <v>16</v>
      </c>
      <c r="B205" s="7" t="s">
        <v>8</v>
      </c>
      <c r="C205" s="7" t="s">
        <v>8</v>
      </c>
      <c r="D205" s="11"/>
      <c r="E205" s="6">
        <v>0</v>
      </c>
      <c r="F205" s="6"/>
      <c r="G205" s="34">
        <v>390</v>
      </c>
      <c r="H205" s="35"/>
    </row>
    <row r="206" spans="1:9" ht="15.75" thickBot="1" x14ac:dyDescent="0.3">
      <c r="A206" s="3" t="s">
        <v>17</v>
      </c>
      <c r="B206" s="6">
        <f>G206*56%</f>
        <v>0</v>
      </c>
      <c r="C206" s="7"/>
      <c r="D206" s="6"/>
      <c r="E206" s="6">
        <f>G206-B206</f>
        <v>0</v>
      </c>
      <c r="F206" s="6"/>
      <c r="G206" s="34">
        <v>0</v>
      </c>
      <c r="H206" s="35"/>
    </row>
    <row r="207" spans="1:9" ht="15.75" thickBot="1" x14ac:dyDescent="0.3">
      <c r="A207" s="3" t="s">
        <v>18</v>
      </c>
      <c r="B207" s="6"/>
      <c r="C207" s="7"/>
      <c r="D207" s="7"/>
      <c r="E207" s="6"/>
      <c r="F207" s="6"/>
      <c r="G207" s="34"/>
      <c r="H207" s="35"/>
    </row>
    <row r="208" spans="1:9" ht="45.75" thickBot="1" x14ac:dyDescent="0.3">
      <c r="A208" s="2" t="s">
        <v>19</v>
      </c>
      <c r="B208" s="6"/>
      <c r="C208" s="7"/>
      <c r="D208" s="6"/>
      <c r="E208" s="6"/>
      <c r="F208" s="6"/>
      <c r="G208" s="38"/>
      <c r="H208" s="39"/>
    </row>
    <row r="209" spans="1:11" ht="30.75" thickBot="1" x14ac:dyDescent="0.3">
      <c r="A209" s="2" t="s">
        <v>20</v>
      </c>
      <c r="B209" s="6"/>
      <c r="C209" s="7"/>
      <c r="D209" s="6"/>
      <c r="E209" s="6"/>
      <c r="F209" s="6"/>
      <c r="G209" s="34">
        <v>43135</v>
      </c>
      <c r="H209" s="35"/>
    </row>
    <row r="210" spans="1:11" ht="30.75" thickBot="1" x14ac:dyDescent="0.3">
      <c r="A210" s="2" t="s">
        <v>21</v>
      </c>
      <c r="B210" s="6">
        <f>G210*56%</f>
        <v>13146.560000000001</v>
      </c>
      <c r="C210" s="6"/>
      <c r="D210" s="28">
        <f>G210-B210</f>
        <v>10329.439999999999</v>
      </c>
      <c r="E210" s="7" t="s">
        <v>8</v>
      </c>
      <c r="F210" s="7" t="s">
        <v>8</v>
      </c>
      <c r="G210" s="34">
        <f>23866-G205</f>
        <v>23476</v>
      </c>
      <c r="H210" s="35"/>
    </row>
    <row r="211" spans="1:11" ht="15.75" thickBot="1" x14ac:dyDescent="0.3">
      <c r="A211" s="3" t="s">
        <v>22</v>
      </c>
      <c r="B211" s="6">
        <f>G211*56%</f>
        <v>17675.280000000002</v>
      </c>
      <c r="C211" s="6"/>
      <c r="D211" s="28">
        <f>G211-B211</f>
        <v>13887.719999999998</v>
      </c>
      <c r="E211" s="7" t="s">
        <v>8</v>
      </c>
      <c r="F211" s="7" t="s">
        <v>8</v>
      </c>
      <c r="G211" s="34">
        <f>17114+3849+9469+1131</f>
        <v>31563</v>
      </c>
      <c r="H211" s="35"/>
    </row>
    <row r="212" spans="1:11" ht="15.75" thickBot="1" x14ac:dyDescent="0.3">
      <c r="A212" s="3" t="s">
        <v>23</v>
      </c>
      <c r="B212" s="7" t="s">
        <v>8</v>
      </c>
      <c r="C212" s="11"/>
      <c r="D212" s="7" t="s">
        <v>8</v>
      </c>
      <c r="E212" s="7" t="s">
        <v>8</v>
      </c>
      <c r="F212" s="7" t="s">
        <v>8</v>
      </c>
      <c r="G212" s="38"/>
      <c r="H212" s="39"/>
    </row>
    <row r="213" spans="1:11" ht="15.75" thickBot="1" x14ac:dyDescent="0.3">
      <c r="A213" s="3" t="s">
        <v>24</v>
      </c>
      <c r="B213" s="6"/>
      <c r="C213" s="6"/>
      <c r="D213" s="6"/>
      <c r="E213" s="7" t="s">
        <v>8</v>
      </c>
      <c r="F213" s="7" t="s">
        <v>8</v>
      </c>
      <c r="G213" s="34"/>
      <c r="H213" s="35"/>
    </row>
    <row r="214" spans="1:11" ht="15.75" thickBot="1" x14ac:dyDescent="0.3">
      <c r="A214" s="4" t="s">
        <v>25</v>
      </c>
      <c r="B214" s="6">
        <f>SUM(B198:B213)</f>
        <v>206404.66</v>
      </c>
      <c r="C214" s="6"/>
      <c r="D214" s="6">
        <f>SUM(D198:D213)</f>
        <v>80358.34</v>
      </c>
      <c r="E214" s="6">
        <f>SUM(E198:E213)</f>
        <v>0</v>
      </c>
      <c r="F214" s="6"/>
      <c r="G214" s="34">
        <f>SUM(G198:H213)</f>
        <v>330288</v>
      </c>
      <c r="H214" s="35"/>
    </row>
    <row r="215" spans="1:11" x14ac:dyDescent="0.25">
      <c r="A215" s="36" t="s">
        <v>26</v>
      </c>
      <c r="B215" s="36"/>
      <c r="C215" s="36"/>
      <c r="D215" s="36"/>
      <c r="E215" s="36"/>
      <c r="F215" s="36"/>
      <c r="G215" s="36"/>
      <c r="H215" s="36"/>
    </row>
    <row r="216" spans="1:11" x14ac:dyDescent="0.25">
      <c r="A216" s="37" t="s">
        <v>27</v>
      </c>
      <c r="B216" s="37"/>
      <c r="C216" s="37"/>
      <c r="D216" s="37"/>
      <c r="E216" s="37"/>
      <c r="F216" s="37"/>
      <c r="G216" s="37"/>
      <c r="H216" s="37"/>
    </row>
    <row r="217" spans="1:11" x14ac:dyDescent="0.25">
      <c r="A217" s="37" t="s">
        <v>28</v>
      </c>
      <c r="B217" s="37"/>
      <c r="C217" s="37"/>
      <c r="D217" s="37"/>
      <c r="E217" s="37"/>
      <c r="F217" s="37"/>
      <c r="G217" s="37"/>
      <c r="H217" s="37"/>
      <c r="K217" s="9"/>
    </row>
    <row r="218" spans="1:11" x14ac:dyDescent="0.25">
      <c r="B218" s="9" t="s">
        <v>77</v>
      </c>
      <c r="C218" s="9">
        <v>204291</v>
      </c>
      <c r="K218" s="9"/>
    </row>
    <row r="219" spans="1:11" x14ac:dyDescent="0.25">
      <c r="C219" s="9">
        <f>C218-B214</f>
        <v>-2113.6600000000035</v>
      </c>
    </row>
    <row r="223" spans="1:11" x14ac:dyDescent="0.25">
      <c r="A223" s="29"/>
      <c r="B223" s="30"/>
      <c r="C223" s="30"/>
      <c r="D223" s="30"/>
      <c r="E223" s="56" t="s">
        <v>29</v>
      </c>
      <c r="F223" s="56"/>
      <c r="G223" s="56"/>
      <c r="H223" s="56"/>
    </row>
    <row r="224" spans="1:11" x14ac:dyDescent="0.25">
      <c r="A224" s="57"/>
      <c r="B224" s="58"/>
      <c r="C224" s="58"/>
      <c r="D224" s="59"/>
      <c r="E224" s="59" t="s">
        <v>0</v>
      </c>
      <c r="F224" s="59"/>
      <c r="G224" s="59"/>
      <c r="H224" s="59"/>
    </row>
    <row r="225" spans="1:9" x14ac:dyDescent="0.25">
      <c r="A225" s="57"/>
      <c r="B225" s="58"/>
      <c r="C225" s="58"/>
      <c r="D225" s="59"/>
      <c r="E225" s="70" t="s">
        <v>31</v>
      </c>
      <c r="F225" s="59"/>
      <c r="G225" s="59"/>
      <c r="H225" s="59"/>
    </row>
    <row r="226" spans="1:9" ht="15.75" thickBot="1" x14ac:dyDescent="0.3">
      <c r="A226" s="42" t="s">
        <v>89</v>
      </c>
      <c r="B226" s="42"/>
      <c r="C226" s="42"/>
      <c r="D226" s="42"/>
      <c r="E226" s="42"/>
      <c r="F226" s="42"/>
      <c r="G226" s="42"/>
      <c r="H226" s="42"/>
    </row>
    <row r="227" spans="1:9" x14ac:dyDescent="0.25">
      <c r="A227" s="44" t="s">
        <v>2</v>
      </c>
      <c r="B227" s="47" t="s">
        <v>30</v>
      </c>
      <c r="C227" s="48"/>
      <c r="D227" s="48"/>
      <c r="E227" s="48"/>
      <c r="F227" s="48"/>
      <c r="G227" s="49" t="s">
        <v>3</v>
      </c>
      <c r="H227" s="50"/>
    </row>
    <row r="228" spans="1:9" ht="135.75" thickBot="1" x14ac:dyDescent="0.3">
      <c r="A228" s="67"/>
      <c r="B228" s="49" t="s">
        <v>30</v>
      </c>
      <c r="C228" s="49"/>
      <c r="D228" s="14" t="s">
        <v>32</v>
      </c>
      <c r="E228" s="49" t="s">
        <v>4</v>
      </c>
      <c r="F228" s="49"/>
      <c r="G228" s="68"/>
      <c r="H228" s="53"/>
    </row>
    <row r="229" spans="1:9" ht="165.75" thickBot="1" x14ac:dyDescent="0.3">
      <c r="A229" s="46"/>
      <c r="B229" s="13" t="s">
        <v>36</v>
      </c>
      <c r="C229" s="27" t="s">
        <v>5</v>
      </c>
      <c r="D229" s="14" t="s">
        <v>33</v>
      </c>
      <c r="E229" s="27" t="s">
        <v>34</v>
      </c>
      <c r="F229" s="33" t="s">
        <v>35</v>
      </c>
      <c r="G229" s="54"/>
      <c r="H229" s="55"/>
    </row>
    <row r="230" spans="1:9" ht="15.75" thickBot="1" x14ac:dyDescent="0.3">
      <c r="A230" s="26">
        <v>1</v>
      </c>
      <c r="B230" s="33">
        <v>2</v>
      </c>
      <c r="C230" s="10">
        <v>3</v>
      </c>
      <c r="D230" s="33">
        <v>4</v>
      </c>
      <c r="E230" s="10">
        <v>5</v>
      </c>
      <c r="F230" s="33">
        <v>6</v>
      </c>
      <c r="G230" s="40" t="s">
        <v>6</v>
      </c>
      <c r="H230" s="41"/>
    </row>
    <row r="231" spans="1:9" ht="60.75" thickBot="1" x14ac:dyDescent="0.3">
      <c r="A231" s="2" t="s">
        <v>7</v>
      </c>
      <c r="B231" s="6">
        <f>B232</f>
        <v>125807.99</v>
      </c>
      <c r="C231" s="11"/>
      <c r="D231" s="6">
        <f>D232</f>
        <v>37579.009999999995</v>
      </c>
      <c r="E231" s="7" t="s">
        <v>8</v>
      </c>
      <c r="F231" s="7" t="s">
        <v>8</v>
      </c>
      <c r="G231" s="34">
        <f>165275-978-910</f>
        <v>163387</v>
      </c>
      <c r="H231" s="35"/>
    </row>
    <row r="232" spans="1:9" ht="15.75" thickBot="1" x14ac:dyDescent="0.3">
      <c r="A232" s="3" t="s">
        <v>9</v>
      </c>
      <c r="B232" s="6">
        <f>G232*77%</f>
        <v>125807.99</v>
      </c>
      <c r="C232" s="11"/>
      <c r="D232" s="28">
        <f>G232-B232</f>
        <v>37579.009999999995</v>
      </c>
      <c r="E232" s="7" t="s">
        <v>8</v>
      </c>
      <c r="F232" s="7" t="s">
        <v>8</v>
      </c>
      <c r="G232" s="34">
        <f>G231</f>
        <v>163387</v>
      </c>
      <c r="H232" s="35"/>
    </row>
    <row r="233" spans="1:9" ht="15.75" thickBot="1" x14ac:dyDescent="0.3">
      <c r="A233" s="2" t="s">
        <v>10</v>
      </c>
      <c r="B233" s="6">
        <v>0</v>
      </c>
      <c r="C233" s="11"/>
      <c r="D233" s="6">
        <v>0</v>
      </c>
      <c r="E233" s="7" t="s">
        <v>8</v>
      </c>
      <c r="F233" s="7" t="s">
        <v>8</v>
      </c>
      <c r="G233" s="34">
        <v>0</v>
      </c>
      <c r="H233" s="35"/>
    </row>
    <row r="234" spans="1:9" ht="60.75" thickBot="1" x14ac:dyDescent="0.3">
      <c r="A234" s="2" t="s">
        <v>11</v>
      </c>
      <c r="B234" s="6">
        <f>G234*77%</f>
        <v>64577.590000000004</v>
      </c>
      <c r="C234" s="11"/>
      <c r="D234" s="28">
        <f>G234-B234</f>
        <v>19289.409999999996</v>
      </c>
      <c r="E234" s="7" t="s">
        <v>8</v>
      </c>
      <c r="F234" s="7" t="s">
        <v>8</v>
      </c>
      <c r="G234" s="34">
        <f>84367-500</f>
        <v>83867</v>
      </c>
      <c r="H234" s="35"/>
    </row>
    <row r="235" spans="1:9" ht="30.75" thickBot="1" x14ac:dyDescent="0.3">
      <c r="A235" s="2" t="s">
        <v>12</v>
      </c>
      <c r="B235" s="6">
        <f>G235*77%</f>
        <v>1838.76</v>
      </c>
      <c r="C235" s="11"/>
      <c r="D235" s="28">
        <f>G235-B235</f>
        <v>549.24</v>
      </c>
      <c r="E235" s="7" t="s">
        <v>8</v>
      </c>
      <c r="F235" s="7" t="s">
        <v>8</v>
      </c>
      <c r="G235" s="34">
        <f>978+910+500</f>
        <v>2388</v>
      </c>
      <c r="H235" s="35"/>
      <c r="I235" s="9">
        <f>G232+G234+G235</f>
        <v>249642</v>
      </c>
    </row>
    <row r="236" spans="1:9" ht="15.75" thickBot="1" x14ac:dyDescent="0.3">
      <c r="A236" s="2" t="s">
        <v>13</v>
      </c>
      <c r="B236" s="6">
        <f>G236*56%</f>
        <v>5220.88</v>
      </c>
      <c r="C236" s="6"/>
      <c r="D236" s="28">
        <f>G236-B236</f>
        <v>4102.12</v>
      </c>
      <c r="E236" s="7" t="s">
        <v>8</v>
      </c>
      <c r="F236" s="7" t="s">
        <v>8</v>
      </c>
      <c r="G236" s="34">
        <v>9323</v>
      </c>
      <c r="H236" s="35"/>
    </row>
    <row r="237" spans="1:9" ht="30.75" thickBot="1" x14ac:dyDescent="0.3">
      <c r="A237" s="2" t="s">
        <v>14</v>
      </c>
      <c r="B237" s="6">
        <f>G237*56%</f>
        <v>2880.0800000000004</v>
      </c>
      <c r="C237" s="6"/>
      <c r="D237" s="28">
        <f>G237-B237</f>
        <v>2262.9199999999996</v>
      </c>
      <c r="E237" s="7" t="s">
        <v>8</v>
      </c>
      <c r="F237" s="7" t="s">
        <v>8</v>
      </c>
      <c r="G237" s="34">
        <f>14466-G236</f>
        <v>5143</v>
      </c>
      <c r="H237" s="35"/>
    </row>
    <row r="238" spans="1:9" ht="45.75" thickBot="1" x14ac:dyDescent="0.3">
      <c r="A238" s="2" t="s">
        <v>15</v>
      </c>
      <c r="B238" s="7" t="s">
        <v>8</v>
      </c>
      <c r="C238" s="7" t="s">
        <v>8</v>
      </c>
      <c r="D238" s="6"/>
      <c r="E238" s="7" t="s">
        <v>8</v>
      </c>
      <c r="F238" s="7" t="s">
        <v>8</v>
      </c>
      <c r="G238" s="34"/>
      <c r="H238" s="35"/>
    </row>
    <row r="239" spans="1:9" ht="15.75" thickBot="1" x14ac:dyDescent="0.3">
      <c r="A239" s="2" t="s">
        <v>16</v>
      </c>
      <c r="B239" s="7" t="s">
        <v>8</v>
      </c>
      <c r="C239" s="7" t="s">
        <v>8</v>
      </c>
      <c r="D239" s="11"/>
      <c r="E239" s="6">
        <v>0</v>
      </c>
      <c r="F239" s="6"/>
      <c r="G239" s="34">
        <v>390</v>
      </c>
      <c r="H239" s="35"/>
    </row>
    <row r="240" spans="1:9" ht="15.75" thickBot="1" x14ac:dyDescent="0.3">
      <c r="A240" s="3" t="s">
        <v>17</v>
      </c>
      <c r="B240" s="6">
        <f>G240*56%</f>
        <v>0</v>
      </c>
      <c r="C240" s="7"/>
      <c r="D240" s="6"/>
      <c r="E240" s="6">
        <f>G240-B240</f>
        <v>0</v>
      </c>
      <c r="F240" s="6"/>
      <c r="G240" s="34">
        <v>0</v>
      </c>
      <c r="H240" s="35"/>
    </row>
    <row r="241" spans="1:11" ht="15.75" thickBot="1" x14ac:dyDescent="0.3">
      <c r="A241" s="3" t="s">
        <v>18</v>
      </c>
      <c r="B241" s="6"/>
      <c r="C241" s="7"/>
      <c r="D241" s="7"/>
      <c r="E241" s="6"/>
      <c r="F241" s="6"/>
      <c r="G241" s="34"/>
      <c r="H241" s="35"/>
    </row>
    <row r="242" spans="1:11" ht="45.75" thickBot="1" x14ac:dyDescent="0.3">
      <c r="A242" s="2" t="s">
        <v>19</v>
      </c>
      <c r="B242" s="6"/>
      <c r="C242" s="7"/>
      <c r="D242" s="6"/>
      <c r="E242" s="6"/>
      <c r="F242" s="6"/>
      <c r="G242" s="38"/>
      <c r="H242" s="39"/>
    </row>
    <row r="243" spans="1:11" ht="30.75" thickBot="1" x14ac:dyDescent="0.3">
      <c r="A243" s="2" t="s">
        <v>20</v>
      </c>
      <c r="B243" s="6"/>
      <c r="C243" s="7"/>
      <c r="D243" s="6"/>
      <c r="E243" s="6">
        <f>G243</f>
        <v>50305</v>
      </c>
      <c r="F243" s="6"/>
      <c r="G243" s="34">
        <v>50305</v>
      </c>
      <c r="H243" s="35"/>
    </row>
    <row r="244" spans="1:11" ht="30.75" thickBot="1" x14ac:dyDescent="0.3">
      <c r="A244" s="2" t="s">
        <v>21</v>
      </c>
      <c r="B244" s="6">
        <f>G244*56%</f>
        <v>13217.12</v>
      </c>
      <c r="C244" s="6"/>
      <c r="D244" s="28">
        <f>G244-B244</f>
        <v>10384.879999999999</v>
      </c>
      <c r="E244" s="7" t="s">
        <v>8</v>
      </c>
      <c r="F244" s="7" t="s">
        <v>8</v>
      </c>
      <c r="G244" s="34">
        <f>23992-G239</f>
        <v>23602</v>
      </c>
      <c r="H244" s="35"/>
      <c r="J244" s="9"/>
    </row>
    <row r="245" spans="1:11" ht="15.75" thickBot="1" x14ac:dyDescent="0.3">
      <c r="A245" s="3" t="s">
        <v>22</v>
      </c>
      <c r="B245" s="6">
        <f>G245*56%</f>
        <v>19994.800000000003</v>
      </c>
      <c r="C245" s="6"/>
      <c r="D245" s="28">
        <f>G245-B245</f>
        <v>15710.199999999997</v>
      </c>
      <c r="E245" s="7" t="s">
        <v>8</v>
      </c>
      <c r="F245" s="7" t="s">
        <v>8</v>
      </c>
      <c r="G245" s="34">
        <f>17114+6765+10635+1191</f>
        <v>35705</v>
      </c>
      <c r="H245" s="35"/>
      <c r="J245" s="9"/>
    </row>
    <row r="246" spans="1:11" ht="15.75" thickBot="1" x14ac:dyDescent="0.3">
      <c r="A246" s="3" t="s">
        <v>23</v>
      </c>
      <c r="B246" s="7" t="s">
        <v>8</v>
      </c>
      <c r="C246" s="11"/>
      <c r="D246" s="7" t="s">
        <v>8</v>
      </c>
      <c r="E246" s="7" t="s">
        <v>8</v>
      </c>
      <c r="F246" s="7" t="s">
        <v>8</v>
      </c>
      <c r="G246" s="38"/>
      <c r="H246" s="39"/>
    </row>
    <row r="247" spans="1:11" ht="15.75" thickBot="1" x14ac:dyDescent="0.3">
      <c r="A247" s="3" t="s">
        <v>24</v>
      </c>
      <c r="B247" s="6"/>
      <c r="C247" s="6"/>
      <c r="D247" s="6"/>
      <c r="E247" s="7" t="s">
        <v>8</v>
      </c>
      <c r="F247" s="7" t="s">
        <v>8</v>
      </c>
      <c r="G247" s="34"/>
      <c r="H247" s="35"/>
    </row>
    <row r="248" spans="1:11" ht="15.75" thickBot="1" x14ac:dyDescent="0.3">
      <c r="A248" s="4" t="s">
        <v>25</v>
      </c>
      <c r="B248" s="6">
        <f>SUM(B232:B247)</f>
        <v>233537.22000000003</v>
      </c>
      <c r="C248" s="6"/>
      <c r="D248" s="6">
        <f>SUM(D232:D247)</f>
        <v>89877.779999999984</v>
      </c>
      <c r="E248" s="6">
        <f>SUM(E232:E247)</f>
        <v>50305</v>
      </c>
      <c r="F248" s="6"/>
      <c r="G248" s="34">
        <f>SUM(G232:H247)</f>
        <v>374110</v>
      </c>
      <c r="H248" s="35"/>
    </row>
    <row r="249" spans="1:11" x14ac:dyDescent="0.25">
      <c r="A249" s="36" t="s">
        <v>26</v>
      </c>
      <c r="B249" s="36"/>
      <c r="C249" s="36"/>
      <c r="D249" s="36"/>
      <c r="E249" s="36"/>
      <c r="F249" s="36"/>
      <c r="G249" s="36"/>
      <c r="H249" s="36"/>
    </row>
    <row r="250" spans="1:11" x14ac:dyDescent="0.25">
      <c r="A250" s="37" t="s">
        <v>27</v>
      </c>
      <c r="B250" s="37"/>
      <c r="C250" s="37"/>
      <c r="D250" s="37"/>
      <c r="E250" s="37"/>
      <c r="F250" s="37"/>
      <c r="G250" s="37"/>
      <c r="H250" s="37"/>
    </row>
    <row r="251" spans="1:11" x14ac:dyDescent="0.25">
      <c r="A251" s="37" t="s">
        <v>28</v>
      </c>
      <c r="B251" s="37"/>
      <c r="C251" s="37"/>
      <c r="D251" s="37"/>
      <c r="E251" s="37"/>
      <c r="F251" s="37"/>
      <c r="G251" s="37"/>
      <c r="H251" s="37"/>
      <c r="K251" s="9"/>
    </row>
    <row r="252" spans="1:11" x14ac:dyDescent="0.25">
      <c r="B252" s="9" t="s">
        <v>90</v>
      </c>
      <c r="C252" s="9">
        <v>242472</v>
      </c>
      <c r="K252" s="9"/>
    </row>
    <row r="253" spans="1:11" x14ac:dyDescent="0.25">
      <c r="C253" s="9">
        <f>C252-B248</f>
        <v>8934.7799999999697</v>
      </c>
    </row>
    <row r="257" spans="1:10" x14ac:dyDescent="0.25">
      <c r="A257" s="29"/>
      <c r="B257" s="30"/>
      <c r="C257" s="30"/>
      <c r="D257" s="30"/>
      <c r="E257" s="56" t="s">
        <v>29</v>
      </c>
      <c r="F257" s="56"/>
      <c r="G257" s="56"/>
      <c r="H257" s="56"/>
    </row>
    <row r="258" spans="1:10" x14ac:dyDescent="0.25">
      <c r="A258" s="57"/>
      <c r="B258" s="58"/>
      <c r="C258" s="58"/>
      <c r="D258" s="59"/>
      <c r="E258" s="59" t="s">
        <v>0</v>
      </c>
      <c r="F258" s="59"/>
      <c r="G258" s="59"/>
      <c r="H258" s="59"/>
    </row>
    <row r="259" spans="1:10" x14ac:dyDescent="0.25">
      <c r="A259" s="57"/>
      <c r="B259" s="58"/>
      <c r="C259" s="58"/>
      <c r="D259" s="59"/>
      <c r="E259" s="70" t="s">
        <v>31</v>
      </c>
      <c r="F259" s="59"/>
      <c r="G259" s="59"/>
      <c r="H259" s="59"/>
    </row>
    <row r="260" spans="1:10" ht="15.75" thickBot="1" x14ac:dyDescent="0.3">
      <c r="A260" s="42" t="s">
        <v>91</v>
      </c>
      <c r="B260" s="42"/>
      <c r="C260" s="42"/>
      <c r="D260" s="42"/>
      <c r="E260" s="42"/>
      <c r="F260" s="42"/>
      <c r="G260" s="42"/>
      <c r="H260" s="42"/>
    </row>
    <row r="261" spans="1:10" x14ac:dyDescent="0.25">
      <c r="A261" s="44" t="s">
        <v>2</v>
      </c>
      <c r="B261" s="47" t="s">
        <v>30</v>
      </c>
      <c r="C261" s="48"/>
      <c r="D261" s="48"/>
      <c r="E261" s="48"/>
      <c r="F261" s="48"/>
      <c r="G261" s="49" t="s">
        <v>3</v>
      </c>
      <c r="H261" s="50"/>
    </row>
    <row r="262" spans="1:10" ht="135.75" thickBot="1" x14ac:dyDescent="0.3">
      <c r="A262" s="67"/>
      <c r="B262" s="49" t="s">
        <v>30</v>
      </c>
      <c r="C262" s="49"/>
      <c r="D262" s="14" t="s">
        <v>32</v>
      </c>
      <c r="E262" s="49" t="s">
        <v>4</v>
      </c>
      <c r="F262" s="49"/>
      <c r="G262" s="68"/>
      <c r="H262" s="53"/>
    </row>
    <row r="263" spans="1:10" ht="165.75" thickBot="1" x14ac:dyDescent="0.3">
      <c r="A263" s="46"/>
      <c r="B263" s="13" t="s">
        <v>36</v>
      </c>
      <c r="C263" s="27" t="s">
        <v>5</v>
      </c>
      <c r="D263" s="14" t="s">
        <v>33</v>
      </c>
      <c r="E263" s="27" t="s">
        <v>34</v>
      </c>
      <c r="F263" s="33" t="s">
        <v>35</v>
      </c>
      <c r="G263" s="54"/>
      <c r="H263" s="55"/>
    </row>
    <row r="264" spans="1:10" ht="15.75" thickBot="1" x14ac:dyDescent="0.3">
      <c r="A264" s="26">
        <v>1</v>
      </c>
      <c r="B264" s="33">
        <v>2</v>
      </c>
      <c r="C264" s="10">
        <v>3</v>
      </c>
      <c r="D264" s="33">
        <v>4</v>
      </c>
      <c r="E264" s="10">
        <v>5</v>
      </c>
      <c r="F264" s="33">
        <v>6</v>
      </c>
      <c r="G264" s="40" t="s">
        <v>6</v>
      </c>
      <c r="H264" s="41"/>
    </row>
    <row r="265" spans="1:10" ht="60.75" thickBot="1" x14ac:dyDescent="0.3">
      <c r="A265" s="2" t="s">
        <v>7</v>
      </c>
      <c r="B265" s="6">
        <f>B266</f>
        <v>138159.56</v>
      </c>
      <c r="C265" s="11"/>
      <c r="D265" s="6">
        <f>D266</f>
        <v>41268.44</v>
      </c>
      <c r="E265" s="7" t="s">
        <v>8</v>
      </c>
      <c r="F265" s="7" t="s">
        <v>8</v>
      </c>
      <c r="G265" s="34">
        <f>181339-910-1001</f>
        <v>179428</v>
      </c>
      <c r="H265" s="35"/>
    </row>
    <row r="266" spans="1:10" ht="15.75" thickBot="1" x14ac:dyDescent="0.3">
      <c r="A266" s="3" t="s">
        <v>9</v>
      </c>
      <c r="B266" s="6">
        <f>G266*77%</f>
        <v>138159.56</v>
      </c>
      <c r="C266" s="11"/>
      <c r="D266" s="28">
        <f>G266-B266</f>
        <v>41268.44</v>
      </c>
      <c r="E266" s="7" t="s">
        <v>8</v>
      </c>
      <c r="F266" s="7" t="s">
        <v>8</v>
      </c>
      <c r="G266" s="34">
        <f>G265</f>
        <v>179428</v>
      </c>
      <c r="H266" s="35"/>
    </row>
    <row r="267" spans="1:10" ht="15.75" thickBot="1" x14ac:dyDescent="0.3">
      <c r="A267" s="2" t="s">
        <v>10</v>
      </c>
      <c r="B267" s="6">
        <v>0</v>
      </c>
      <c r="C267" s="11"/>
      <c r="D267" s="6">
        <v>0</v>
      </c>
      <c r="E267" s="7" t="s">
        <v>8</v>
      </c>
      <c r="F267" s="7" t="s">
        <v>8</v>
      </c>
      <c r="G267" s="34">
        <v>0</v>
      </c>
      <c r="H267" s="35"/>
    </row>
    <row r="268" spans="1:10" ht="60.75" thickBot="1" x14ac:dyDescent="0.3">
      <c r="A268" s="2" t="s">
        <v>11</v>
      </c>
      <c r="B268" s="6">
        <f>G268*77%</f>
        <v>73361.75</v>
      </c>
      <c r="C268" s="11"/>
      <c r="D268" s="28">
        <f>G268-B268</f>
        <v>21913.25</v>
      </c>
      <c r="E268" s="7" t="s">
        <v>8</v>
      </c>
      <c r="F268" s="7" t="s">
        <v>8</v>
      </c>
      <c r="G268" s="34">
        <f>95802-527</f>
        <v>95275</v>
      </c>
      <c r="H268" s="35"/>
    </row>
    <row r="269" spans="1:10" ht="30.75" thickBot="1" x14ac:dyDescent="0.3">
      <c r="A269" s="2" t="s">
        <v>12</v>
      </c>
      <c r="B269" s="6">
        <f>G269*77%</f>
        <v>1877.26</v>
      </c>
      <c r="C269" s="11"/>
      <c r="D269" s="28">
        <f>G269-B269</f>
        <v>560.74</v>
      </c>
      <c r="E269" s="7" t="s">
        <v>8</v>
      </c>
      <c r="F269" s="7" t="s">
        <v>8</v>
      </c>
      <c r="G269" s="34">
        <f>527+910+1001</f>
        <v>2438</v>
      </c>
      <c r="H269" s="35"/>
      <c r="I269" s="9">
        <f>G266+G268+G269</f>
        <v>277141</v>
      </c>
      <c r="J269" s="9">
        <f>I269-277142</f>
        <v>-1</v>
      </c>
    </row>
    <row r="270" spans="1:10" ht="15.75" thickBot="1" x14ac:dyDescent="0.3">
      <c r="A270" s="2" t="s">
        <v>13</v>
      </c>
      <c r="B270" s="6">
        <f>G270*56%</f>
        <v>5978.56</v>
      </c>
      <c r="C270" s="6"/>
      <c r="D270" s="28">
        <f>G270-B270</f>
        <v>4697.4399999999996</v>
      </c>
      <c r="E270" s="7" t="s">
        <v>8</v>
      </c>
      <c r="F270" s="7" t="s">
        <v>8</v>
      </c>
      <c r="G270" s="34">
        <v>10676</v>
      </c>
      <c r="H270" s="35"/>
    </row>
    <row r="271" spans="1:10" ht="30.75" thickBot="1" x14ac:dyDescent="0.3">
      <c r="A271" s="2" t="s">
        <v>14</v>
      </c>
      <c r="B271" s="6">
        <f>G271*56%</f>
        <v>3382.4000000000005</v>
      </c>
      <c r="C271" s="6"/>
      <c r="D271" s="28">
        <f>G271-B271</f>
        <v>2657.5999999999995</v>
      </c>
      <c r="E271" s="7" t="s">
        <v>8</v>
      </c>
      <c r="F271" s="7" t="s">
        <v>8</v>
      </c>
      <c r="G271" s="34">
        <f>16716-G270</f>
        <v>6040</v>
      </c>
      <c r="H271" s="35"/>
    </row>
    <row r="272" spans="1:10" ht="45.75" thickBot="1" x14ac:dyDescent="0.3">
      <c r="A272" s="2" t="s">
        <v>15</v>
      </c>
      <c r="B272" s="7" t="s">
        <v>8</v>
      </c>
      <c r="C272" s="7" t="s">
        <v>8</v>
      </c>
      <c r="D272" s="6"/>
      <c r="E272" s="7" t="s">
        <v>8</v>
      </c>
      <c r="F272" s="7" t="s">
        <v>8</v>
      </c>
      <c r="G272" s="34"/>
      <c r="H272" s="35"/>
    </row>
    <row r="273" spans="1:11" ht="15.75" thickBot="1" x14ac:dyDescent="0.3">
      <c r="A273" s="2" t="s">
        <v>16</v>
      </c>
      <c r="B273" s="7" t="s">
        <v>8</v>
      </c>
      <c r="C273" s="7" t="s">
        <v>8</v>
      </c>
      <c r="D273" s="11"/>
      <c r="E273" s="6"/>
      <c r="F273" s="6"/>
      <c r="G273" s="34"/>
      <c r="H273" s="35"/>
    </row>
    <row r="274" spans="1:11" ht="15.75" thickBot="1" x14ac:dyDescent="0.3">
      <c r="A274" s="3" t="s">
        <v>17</v>
      </c>
      <c r="B274" s="6">
        <f>G274*56%</f>
        <v>218.40000000000003</v>
      </c>
      <c r="C274" s="7"/>
      <c r="D274" s="6"/>
      <c r="E274" s="6">
        <f>G274-B274</f>
        <v>171.59999999999997</v>
      </c>
      <c r="F274" s="6"/>
      <c r="G274" s="34">
        <v>390</v>
      </c>
      <c r="H274" s="35"/>
    </row>
    <row r="275" spans="1:11" ht="15.75" thickBot="1" x14ac:dyDescent="0.3">
      <c r="A275" s="3" t="s">
        <v>18</v>
      </c>
      <c r="B275" s="6"/>
      <c r="C275" s="7"/>
      <c r="D275" s="7"/>
      <c r="E275" s="6"/>
      <c r="F275" s="6"/>
      <c r="G275" s="34"/>
      <c r="H275" s="35"/>
    </row>
    <row r="276" spans="1:11" ht="45.75" thickBot="1" x14ac:dyDescent="0.3">
      <c r="A276" s="2" t="s">
        <v>19</v>
      </c>
      <c r="B276" s="6"/>
      <c r="C276" s="7"/>
      <c r="D276" s="6"/>
      <c r="E276" s="6"/>
      <c r="F276" s="6"/>
      <c r="G276" s="38"/>
      <c r="H276" s="39"/>
      <c r="J276" s="9"/>
    </row>
    <row r="277" spans="1:11" ht="30.75" thickBot="1" x14ac:dyDescent="0.3">
      <c r="A277" s="2" t="s">
        <v>20</v>
      </c>
      <c r="B277" s="6"/>
      <c r="C277" s="7"/>
      <c r="D277" s="6"/>
      <c r="E277" s="6">
        <f>G277</f>
        <v>57474</v>
      </c>
      <c r="F277" s="6"/>
      <c r="G277" s="34">
        <v>57474</v>
      </c>
      <c r="H277" s="35"/>
    </row>
    <row r="278" spans="1:11" ht="30.75" thickBot="1" x14ac:dyDescent="0.3">
      <c r="A278" s="2" t="s">
        <v>21</v>
      </c>
      <c r="B278" s="6">
        <f>G278*56%</f>
        <v>16472.960000000003</v>
      </c>
      <c r="C278" s="6"/>
      <c r="D278" s="28">
        <f>G278-B278</f>
        <v>12943.039999999997</v>
      </c>
      <c r="E278" s="7" t="s">
        <v>8</v>
      </c>
      <c r="F278" s="7" t="s">
        <v>8</v>
      </c>
      <c r="G278" s="34">
        <f>29806-G274</f>
        <v>29416</v>
      </c>
      <c r="H278" s="35"/>
      <c r="J278" s="9"/>
    </row>
    <row r="279" spans="1:11" ht="15.75" thickBot="1" x14ac:dyDescent="0.3">
      <c r="A279" s="3" t="s">
        <v>22</v>
      </c>
      <c r="B279" s="6">
        <f>G279*56%</f>
        <v>20680.800000000003</v>
      </c>
      <c r="C279" s="6"/>
      <c r="D279" s="28">
        <f>G279-B279</f>
        <v>16249.199999999997</v>
      </c>
      <c r="E279" s="7" t="s">
        <v>8</v>
      </c>
      <c r="F279" s="7" t="s">
        <v>8</v>
      </c>
      <c r="G279" s="34">
        <f>17114+1229+11822+6765</f>
        <v>36930</v>
      </c>
      <c r="H279" s="35"/>
      <c r="J279" s="9"/>
    </row>
    <row r="280" spans="1:11" ht="15.75" thickBot="1" x14ac:dyDescent="0.3">
      <c r="A280" s="3" t="s">
        <v>23</v>
      </c>
      <c r="B280" s="7" t="s">
        <v>8</v>
      </c>
      <c r="C280" s="11"/>
      <c r="D280" s="7" t="s">
        <v>8</v>
      </c>
      <c r="E280" s="7" t="s">
        <v>8</v>
      </c>
      <c r="F280" s="7" t="s">
        <v>8</v>
      </c>
      <c r="G280" s="38"/>
      <c r="H280" s="39"/>
    </row>
    <row r="281" spans="1:11" ht="15.75" thickBot="1" x14ac:dyDescent="0.3">
      <c r="A281" s="3" t="s">
        <v>24</v>
      </c>
      <c r="B281" s="6"/>
      <c r="C281" s="6"/>
      <c r="D281" s="6"/>
      <c r="E281" s="7" t="s">
        <v>8</v>
      </c>
      <c r="F281" s="7" t="s">
        <v>8</v>
      </c>
      <c r="G281" s="34"/>
      <c r="H281" s="35"/>
    </row>
    <row r="282" spans="1:11" ht="15.75" thickBot="1" x14ac:dyDescent="0.3">
      <c r="A282" s="4" t="s">
        <v>25</v>
      </c>
      <c r="B282" s="6">
        <f>SUM(B266:B281)</f>
        <v>260131.69</v>
      </c>
      <c r="C282" s="6"/>
      <c r="D282" s="6">
        <f>SUM(D266:D281)</f>
        <v>100289.70999999999</v>
      </c>
      <c r="E282" s="6">
        <f>SUM(E266:E281)</f>
        <v>57645.599999999999</v>
      </c>
      <c r="F282" s="6"/>
      <c r="G282" s="34">
        <f>SUM(G266:H281)</f>
        <v>418067</v>
      </c>
      <c r="H282" s="35"/>
    </row>
    <row r="283" spans="1:11" x14ac:dyDescent="0.25">
      <c r="A283" s="36" t="s">
        <v>26</v>
      </c>
      <c r="B283" s="36"/>
      <c r="C283" s="36"/>
      <c r="D283" s="36"/>
      <c r="E283" s="36"/>
      <c r="F283" s="36"/>
      <c r="G283" s="36"/>
      <c r="H283" s="36"/>
    </row>
    <row r="284" spans="1:11" x14ac:dyDescent="0.25">
      <c r="A284" s="37" t="s">
        <v>27</v>
      </c>
      <c r="B284" s="37"/>
      <c r="C284" s="37"/>
      <c r="D284" s="37"/>
      <c r="E284" s="37"/>
      <c r="F284" s="37"/>
      <c r="G284" s="37"/>
      <c r="H284" s="37"/>
    </row>
    <row r="285" spans="1:11" x14ac:dyDescent="0.25">
      <c r="A285" s="37" t="s">
        <v>28</v>
      </c>
      <c r="B285" s="37"/>
      <c r="C285" s="37"/>
      <c r="D285" s="37"/>
      <c r="E285" s="37"/>
      <c r="F285" s="37"/>
      <c r="G285" s="37"/>
      <c r="H285" s="37"/>
      <c r="K285" s="9"/>
    </row>
    <row r="286" spans="1:11" x14ac:dyDescent="0.25">
      <c r="B286" s="9" t="s">
        <v>92</v>
      </c>
      <c r="C286" s="9">
        <v>268685</v>
      </c>
      <c r="K286" s="9"/>
    </row>
    <row r="287" spans="1:11" x14ac:dyDescent="0.25">
      <c r="C287" s="9">
        <f>C286-B282</f>
        <v>8553.3099999999977</v>
      </c>
    </row>
    <row r="290" spans="1:9" x14ac:dyDescent="0.25">
      <c r="A290" s="29"/>
      <c r="B290" s="30"/>
      <c r="C290" s="30"/>
      <c r="D290" s="30"/>
      <c r="E290" s="56" t="s">
        <v>29</v>
      </c>
      <c r="F290" s="56"/>
      <c r="G290" s="56"/>
      <c r="H290" s="56"/>
    </row>
    <row r="291" spans="1:9" x14ac:dyDescent="0.25">
      <c r="A291" s="57"/>
      <c r="B291" s="58"/>
      <c r="C291" s="58"/>
      <c r="D291" s="59"/>
      <c r="E291" s="59" t="s">
        <v>0</v>
      </c>
      <c r="F291" s="59"/>
      <c r="G291" s="59"/>
      <c r="H291" s="59"/>
    </row>
    <row r="292" spans="1:9" x14ac:dyDescent="0.25">
      <c r="A292" s="57"/>
      <c r="B292" s="58"/>
      <c r="C292" s="58"/>
      <c r="D292" s="59"/>
      <c r="E292" s="70" t="s">
        <v>31</v>
      </c>
      <c r="F292" s="59"/>
      <c r="G292" s="59"/>
      <c r="H292" s="59"/>
    </row>
    <row r="293" spans="1:9" ht="15.75" thickBot="1" x14ac:dyDescent="0.3">
      <c r="A293" s="42" t="s">
        <v>93</v>
      </c>
      <c r="B293" s="42"/>
      <c r="C293" s="42"/>
      <c r="D293" s="42"/>
      <c r="E293" s="42"/>
      <c r="F293" s="42"/>
      <c r="G293" s="42"/>
      <c r="H293" s="42"/>
    </row>
    <row r="294" spans="1:9" x14ac:dyDescent="0.25">
      <c r="A294" s="44" t="s">
        <v>2</v>
      </c>
      <c r="B294" s="47" t="s">
        <v>30</v>
      </c>
      <c r="C294" s="48"/>
      <c r="D294" s="48"/>
      <c r="E294" s="48"/>
      <c r="F294" s="48"/>
      <c r="G294" s="49" t="s">
        <v>3</v>
      </c>
      <c r="H294" s="50"/>
    </row>
    <row r="295" spans="1:9" ht="135.75" thickBot="1" x14ac:dyDescent="0.3">
      <c r="A295" s="67"/>
      <c r="B295" s="49" t="s">
        <v>30</v>
      </c>
      <c r="C295" s="49"/>
      <c r="D295" s="14" t="s">
        <v>32</v>
      </c>
      <c r="E295" s="49" t="s">
        <v>4</v>
      </c>
      <c r="F295" s="49"/>
      <c r="G295" s="68"/>
      <c r="H295" s="53"/>
    </row>
    <row r="296" spans="1:9" ht="165.75" thickBot="1" x14ac:dyDescent="0.3">
      <c r="A296" s="46"/>
      <c r="B296" s="13" t="s">
        <v>36</v>
      </c>
      <c r="C296" s="27" t="s">
        <v>5</v>
      </c>
      <c r="D296" s="14" t="s">
        <v>33</v>
      </c>
      <c r="E296" s="27" t="s">
        <v>34</v>
      </c>
      <c r="F296" s="33" t="s">
        <v>35</v>
      </c>
      <c r="G296" s="54"/>
      <c r="H296" s="55"/>
    </row>
    <row r="297" spans="1:9" ht="15.75" thickBot="1" x14ac:dyDescent="0.3">
      <c r="A297" s="26">
        <v>1</v>
      </c>
      <c r="B297" s="33">
        <v>2</v>
      </c>
      <c r="C297" s="10">
        <v>3</v>
      </c>
      <c r="D297" s="33">
        <v>4</v>
      </c>
      <c r="E297" s="10">
        <v>5</v>
      </c>
      <c r="F297" s="33">
        <v>6</v>
      </c>
      <c r="G297" s="40" t="s">
        <v>6</v>
      </c>
      <c r="H297" s="41"/>
    </row>
    <row r="298" spans="1:9" ht="60.75" thickBot="1" x14ac:dyDescent="0.3">
      <c r="A298" s="2" t="s">
        <v>7</v>
      </c>
      <c r="B298" s="6">
        <f>B299</f>
        <v>156737.35</v>
      </c>
      <c r="C298" s="11"/>
      <c r="D298" s="6">
        <f>D299</f>
        <v>46817.649999999994</v>
      </c>
      <c r="E298" s="7" t="s">
        <v>8</v>
      </c>
      <c r="F298" s="7" t="s">
        <v>8</v>
      </c>
      <c r="G298" s="34">
        <f>205651-910-1186</f>
        <v>203555</v>
      </c>
      <c r="H298" s="35"/>
    </row>
    <row r="299" spans="1:9" ht="15.75" thickBot="1" x14ac:dyDescent="0.3">
      <c r="A299" s="3" t="s">
        <v>9</v>
      </c>
      <c r="B299" s="6">
        <f>G299*77%</f>
        <v>156737.35</v>
      </c>
      <c r="C299" s="11"/>
      <c r="D299" s="28">
        <f>G299-B299</f>
        <v>46817.649999999994</v>
      </c>
      <c r="E299" s="7" t="s">
        <v>8</v>
      </c>
      <c r="F299" s="7" t="s">
        <v>8</v>
      </c>
      <c r="G299" s="34">
        <f>G298</f>
        <v>203555</v>
      </c>
      <c r="H299" s="35"/>
    </row>
    <row r="300" spans="1:9" ht="15.75" thickBot="1" x14ac:dyDescent="0.3">
      <c r="A300" s="2" t="s">
        <v>10</v>
      </c>
      <c r="B300" s="6">
        <v>0</v>
      </c>
      <c r="C300" s="11"/>
      <c r="D300" s="6">
        <v>0</v>
      </c>
      <c r="E300" s="7" t="s">
        <v>8</v>
      </c>
      <c r="F300" s="7" t="s">
        <v>8</v>
      </c>
      <c r="G300" s="34">
        <v>0</v>
      </c>
      <c r="H300" s="35"/>
    </row>
    <row r="301" spans="1:9" ht="60.75" thickBot="1" x14ac:dyDescent="0.3">
      <c r="A301" s="2" t="s">
        <v>11</v>
      </c>
      <c r="B301" s="6">
        <f>G301*77%</f>
        <v>82704.930000000008</v>
      </c>
      <c r="C301" s="11"/>
      <c r="D301" s="28">
        <f>G301-B301</f>
        <v>24704.069999999992</v>
      </c>
      <c r="E301" s="7" t="s">
        <v>8</v>
      </c>
      <c r="F301" s="7" t="s">
        <v>8</v>
      </c>
      <c r="G301" s="34">
        <f>108022-613</f>
        <v>107409</v>
      </c>
      <c r="H301" s="35"/>
    </row>
    <row r="302" spans="1:9" ht="30.75" thickBot="1" x14ac:dyDescent="0.3">
      <c r="A302" s="2" t="s">
        <v>12</v>
      </c>
      <c r="B302" s="6">
        <f>G302*77%</f>
        <v>2085.9299999999998</v>
      </c>
      <c r="C302" s="11"/>
      <c r="D302" s="28">
        <f>G302-B302</f>
        <v>623.07000000000016</v>
      </c>
      <c r="E302" s="7" t="s">
        <v>8</v>
      </c>
      <c r="F302" s="7" t="s">
        <v>8</v>
      </c>
      <c r="G302" s="34">
        <f>910+1186+613</f>
        <v>2709</v>
      </c>
      <c r="H302" s="35"/>
      <c r="I302" s="9">
        <f>G299+G301+G302</f>
        <v>313673</v>
      </c>
    </row>
    <row r="303" spans="1:9" ht="15.75" thickBot="1" x14ac:dyDescent="0.3">
      <c r="A303" s="2" t="s">
        <v>13</v>
      </c>
      <c r="B303" s="6">
        <f>G303*56%</f>
        <v>6449.52</v>
      </c>
      <c r="C303" s="6"/>
      <c r="D303" s="28">
        <f>G303-B303</f>
        <v>5067.4799999999996</v>
      </c>
      <c r="E303" s="7" t="s">
        <v>8</v>
      </c>
      <c r="F303" s="7" t="s">
        <v>8</v>
      </c>
      <c r="G303" s="34">
        <v>11517</v>
      </c>
      <c r="H303" s="35"/>
    </row>
    <row r="304" spans="1:9" ht="30.75" thickBot="1" x14ac:dyDescent="0.3">
      <c r="A304" s="2" t="s">
        <v>14</v>
      </c>
      <c r="B304" s="6">
        <f>G304*56%</f>
        <v>5597.2000000000007</v>
      </c>
      <c r="C304" s="6"/>
      <c r="D304" s="28">
        <f>G304-B304</f>
        <v>4397.7999999999993</v>
      </c>
      <c r="E304" s="7" t="s">
        <v>8</v>
      </c>
      <c r="F304" s="7" t="s">
        <v>8</v>
      </c>
      <c r="G304" s="34">
        <f>21512-G303</f>
        <v>9995</v>
      </c>
      <c r="H304" s="35"/>
    </row>
    <row r="305" spans="1:11" ht="45.75" thickBot="1" x14ac:dyDescent="0.3">
      <c r="A305" s="2" t="s">
        <v>15</v>
      </c>
      <c r="B305" s="7" t="s">
        <v>8</v>
      </c>
      <c r="C305" s="7" t="s">
        <v>8</v>
      </c>
      <c r="D305" s="6"/>
      <c r="E305" s="7" t="s">
        <v>8</v>
      </c>
      <c r="F305" s="7" t="s">
        <v>8</v>
      </c>
      <c r="G305" s="34"/>
      <c r="H305" s="35"/>
    </row>
    <row r="306" spans="1:11" ht="15.75" thickBot="1" x14ac:dyDescent="0.3">
      <c r="A306" s="2" t="s">
        <v>16</v>
      </c>
      <c r="B306" s="7" t="s">
        <v>8</v>
      </c>
      <c r="C306" s="7" t="s">
        <v>8</v>
      </c>
      <c r="D306" s="11"/>
      <c r="E306" s="6">
        <v>0</v>
      </c>
      <c r="F306" s="6"/>
      <c r="G306" s="34">
        <v>0</v>
      </c>
      <c r="H306" s="35"/>
    </row>
    <row r="307" spans="1:11" ht="15.75" thickBot="1" x14ac:dyDescent="0.3">
      <c r="A307" s="3" t="s">
        <v>17</v>
      </c>
      <c r="B307" s="6">
        <f>G307*56%</f>
        <v>0</v>
      </c>
      <c r="C307" s="7"/>
      <c r="D307" s="6"/>
      <c r="E307" s="6">
        <f>G307-B307</f>
        <v>0</v>
      </c>
      <c r="F307" s="6"/>
      <c r="G307" s="34">
        <v>0</v>
      </c>
      <c r="H307" s="35"/>
    </row>
    <row r="308" spans="1:11" ht="15.75" thickBot="1" x14ac:dyDescent="0.3">
      <c r="A308" s="3" t="s">
        <v>18</v>
      </c>
      <c r="B308" s="6"/>
      <c r="C308" s="7"/>
      <c r="D308" s="7"/>
      <c r="E308" s="6"/>
      <c r="F308" s="6"/>
      <c r="G308" s="34">
        <v>390</v>
      </c>
      <c r="H308" s="35"/>
    </row>
    <row r="309" spans="1:11" ht="45.75" thickBot="1" x14ac:dyDescent="0.3">
      <c r="A309" s="2" t="s">
        <v>19</v>
      </c>
      <c r="B309" s="6"/>
      <c r="C309" s="7"/>
      <c r="D309" s="6"/>
      <c r="E309" s="6"/>
      <c r="F309" s="6"/>
      <c r="G309" s="38"/>
      <c r="H309" s="39"/>
      <c r="J309" s="9"/>
    </row>
    <row r="310" spans="1:11" ht="30.75" thickBot="1" x14ac:dyDescent="0.3">
      <c r="A310" s="2" t="s">
        <v>20</v>
      </c>
      <c r="B310" s="6"/>
      <c r="C310" s="7"/>
      <c r="D310" s="6"/>
      <c r="E310" s="6">
        <f>G310</f>
        <v>64704</v>
      </c>
      <c r="F310" s="6"/>
      <c r="G310" s="34">
        <v>64704</v>
      </c>
      <c r="H310" s="35"/>
    </row>
    <row r="311" spans="1:11" ht="30.75" thickBot="1" x14ac:dyDescent="0.3">
      <c r="A311" s="2" t="s">
        <v>21</v>
      </c>
      <c r="B311" s="6">
        <f>G311*56%</f>
        <v>19960.640000000003</v>
      </c>
      <c r="C311" s="6"/>
      <c r="D311" s="28">
        <f>G311-B311</f>
        <v>15683.359999999997</v>
      </c>
      <c r="E311" s="7" t="s">
        <v>8</v>
      </c>
      <c r="F311" s="7" t="s">
        <v>8</v>
      </c>
      <c r="G311" s="34">
        <f>36034-G308</f>
        <v>35644</v>
      </c>
      <c r="H311" s="35"/>
      <c r="J311" s="9"/>
    </row>
    <row r="312" spans="1:11" ht="15.75" thickBot="1" x14ac:dyDescent="0.3">
      <c r="A312" s="3" t="s">
        <v>22</v>
      </c>
      <c r="B312" s="6">
        <f>G312*56%</f>
        <v>21369.600000000002</v>
      </c>
      <c r="C312" s="6"/>
      <c r="D312" s="28">
        <f>G312-B312</f>
        <v>16790.399999999998</v>
      </c>
      <c r="E312" s="7" t="s">
        <v>8</v>
      </c>
      <c r="F312" s="7" t="s">
        <v>8</v>
      </c>
      <c r="G312" s="34">
        <f>17114+6765+12995+1286</f>
        <v>38160</v>
      </c>
      <c r="H312" s="35"/>
      <c r="J312" s="9"/>
    </row>
    <row r="313" spans="1:11" ht="15.75" thickBot="1" x14ac:dyDescent="0.3">
      <c r="A313" s="3" t="s">
        <v>23</v>
      </c>
      <c r="B313" s="7" t="s">
        <v>8</v>
      </c>
      <c r="C313" s="11"/>
      <c r="D313" s="7" t="s">
        <v>8</v>
      </c>
      <c r="E313" s="7" t="s">
        <v>8</v>
      </c>
      <c r="F313" s="7" t="s">
        <v>8</v>
      </c>
      <c r="G313" s="38"/>
      <c r="H313" s="39"/>
    </row>
    <row r="314" spans="1:11" ht="15.75" thickBot="1" x14ac:dyDescent="0.3">
      <c r="A314" s="3" t="s">
        <v>24</v>
      </c>
      <c r="B314" s="6"/>
      <c r="C314" s="6"/>
      <c r="D314" s="6"/>
      <c r="E314" s="7" t="s">
        <v>8</v>
      </c>
      <c r="F314" s="7" t="s">
        <v>8</v>
      </c>
      <c r="G314" s="34"/>
      <c r="H314" s="35"/>
    </row>
    <row r="315" spans="1:11" ht="15.75" thickBot="1" x14ac:dyDescent="0.3">
      <c r="A315" s="4" t="s">
        <v>25</v>
      </c>
      <c r="B315" s="6">
        <f>SUM(B299:B314)</f>
        <v>294905.17</v>
      </c>
      <c r="C315" s="6"/>
      <c r="D315" s="6">
        <f>SUM(D299:D314)</f>
        <v>114083.82999999999</v>
      </c>
      <c r="E315" s="6">
        <f>SUM(E299:E314)</f>
        <v>64704</v>
      </c>
      <c r="F315" s="6"/>
      <c r="G315" s="34">
        <f>SUM(G299:H314)</f>
        <v>474083</v>
      </c>
      <c r="H315" s="35"/>
    </row>
    <row r="316" spans="1:11" x14ac:dyDescent="0.25">
      <c r="A316" s="36" t="s">
        <v>26</v>
      </c>
      <c r="B316" s="36"/>
      <c r="C316" s="36"/>
      <c r="D316" s="36"/>
      <c r="E316" s="36"/>
      <c r="F316" s="36"/>
      <c r="G316" s="36"/>
      <c r="H316" s="36"/>
    </row>
    <row r="317" spans="1:11" x14ac:dyDescent="0.25">
      <c r="A317" s="37" t="s">
        <v>27</v>
      </c>
      <c r="B317" s="37"/>
      <c r="C317" s="37"/>
      <c r="D317" s="37"/>
      <c r="E317" s="37"/>
      <c r="F317" s="37"/>
      <c r="G317" s="37"/>
      <c r="H317" s="37"/>
    </row>
    <row r="318" spans="1:11" x14ac:dyDescent="0.25">
      <c r="A318" s="37" t="s">
        <v>28</v>
      </c>
      <c r="B318" s="37"/>
      <c r="C318" s="37"/>
      <c r="D318" s="37"/>
      <c r="E318" s="37"/>
      <c r="F318" s="37"/>
      <c r="G318" s="37"/>
      <c r="H318" s="37"/>
      <c r="K318" s="9"/>
    </row>
    <row r="319" spans="1:11" x14ac:dyDescent="0.25">
      <c r="B319" s="9" t="s">
        <v>94</v>
      </c>
      <c r="C319" s="9">
        <v>294899</v>
      </c>
      <c r="K319" s="9"/>
    </row>
    <row r="320" spans="1:11" x14ac:dyDescent="0.25">
      <c r="C320" s="9">
        <f>C319-B315</f>
        <v>-6.1699999999837019</v>
      </c>
    </row>
    <row r="323" spans="1:9" x14ac:dyDescent="0.25">
      <c r="A323" s="29"/>
      <c r="B323" s="30"/>
      <c r="C323" s="30"/>
      <c r="D323" s="30"/>
      <c r="E323" s="56" t="s">
        <v>29</v>
      </c>
      <c r="F323" s="56"/>
      <c r="G323" s="56"/>
      <c r="H323" s="56"/>
    </row>
    <row r="324" spans="1:9" x14ac:dyDescent="0.25">
      <c r="A324" s="57"/>
      <c r="B324" s="58"/>
      <c r="C324" s="58"/>
      <c r="D324" s="59"/>
      <c r="E324" s="59" t="s">
        <v>0</v>
      </c>
      <c r="F324" s="59"/>
      <c r="G324" s="59"/>
      <c r="H324" s="59"/>
    </row>
    <row r="325" spans="1:9" x14ac:dyDescent="0.25">
      <c r="A325" s="57"/>
      <c r="B325" s="58"/>
      <c r="C325" s="58"/>
      <c r="D325" s="59"/>
      <c r="E325" s="70" t="s">
        <v>31</v>
      </c>
      <c r="F325" s="59"/>
      <c r="G325" s="59"/>
      <c r="H325" s="59"/>
    </row>
    <row r="326" spans="1:9" ht="15.75" thickBot="1" x14ac:dyDescent="0.3">
      <c r="A326" s="42" t="s">
        <v>95</v>
      </c>
      <c r="B326" s="42"/>
      <c r="C326" s="42"/>
      <c r="D326" s="42"/>
      <c r="E326" s="42"/>
      <c r="F326" s="42"/>
      <c r="G326" s="42"/>
      <c r="H326" s="42"/>
    </row>
    <row r="327" spans="1:9" x14ac:dyDescent="0.25">
      <c r="A327" s="44" t="s">
        <v>2</v>
      </c>
      <c r="B327" s="47" t="s">
        <v>30</v>
      </c>
      <c r="C327" s="48"/>
      <c r="D327" s="48"/>
      <c r="E327" s="48"/>
      <c r="F327" s="48"/>
      <c r="G327" s="49" t="s">
        <v>3</v>
      </c>
      <c r="H327" s="50"/>
    </row>
    <row r="328" spans="1:9" ht="135.75" thickBot="1" x14ac:dyDescent="0.3">
      <c r="A328" s="67"/>
      <c r="B328" s="49" t="s">
        <v>30</v>
      </c>
      <c r="C328" s="49"/>
      <c r="D328" s="14" t="s">
        <v>32</v>
      </c>
      <c r="E328" s="49" t="s">
        <v>4</v>
      </c>
      <c r="F328" s="49"/>
      <c r="G328" s="68"/>
      <c r="H328" s="53"/>
    </row>
    <row r="329" spans="1:9" ht="165.75" thickBot="1" x14ac:dyDescent="0.3">
      <c r="A329" s="46"/>
      <c r="B329" s="13" t="s">
        <v>36</v>
      </c>
      <c r="C329" s="27" t="s">
        <v>5</v>
      </c>
      <c r="D329" s="14" t="s">
        <v>33</v>
      </c>
      <c r="E329" s="27" t="s">
        <v>34</v>
      </c>
      <c r="F329" s="33" t="s">
        <v>35</v>
      </c>
      <c r="G329" s="54"/>
      <c r="H329" s="55"/>
    </row>
    <row r="330" spans="1:9" ht="15.75" thickBot="1" x14ac:dyDescent="0.3">
      <c r="A330" s="26">
        <v>1</v>
      </c>
      <c r="B330" s="33">
        <v>2</v>
      </c>
      <c r="C330" s="10">
        <v>3</v>
      </c>
      <c r="D330" s="33">
        <v>4</v>
      </c>
      <c r="E330" s="10">
        <v>5</v>
      </c>
      <c r="F330" s="33">
        <v>6</v>
      </c>
      <c r="G330" s="40" t="s">
        <v>6</v>
      </c>
      <c r="H330" s="41"/>
    </row>
    <row r="331" spans="1:9" ht="60.75" thickBot="1" x14ac:dyDescent="0.3">
      <c r="A331" s="2" t="s">
        <v>7</v>
      </c>
      <c r="B331" s="6">
        <f>B332</f>
        <v>178315.83000000002</v>
      </c>
      <c r="C331" s="11"/>
      <c r="D331" s="6">
        <f>D332</f>
        <v>53263.169999999984</v>
      </c>
      <c r="E331" s="7" t="s">
        <v>8</v>
      </c>
      <c r="F331" s="7" t="s">
        <v>8</v>
      </c>
      <c r="G331" s="34">
        <f>233864-910-1375</f>
        <v>231579</v>
      </c>
      <c r="H331" s="35"/>
    </row>
    <row r="332" spans="1:9" ht="15.75" thickBot="1" x14ac:dyDescent="0.3">
      <c r="A332" s="3" t="s">
        <v>9</v>
      </c>
      <c r="B332" s="6">
        <f>G332*77%</f>
        <v>178315.83000000002</v>
      </c>
      <c r="C332" s="11"/>
      <c r="D332" s="28">
        <f>G332-B332</f>
        <v>53263.169999999984</v>
      </c>
      <c r="E332" s="7" t="s">
        <v>8</v>
      </c>
      <c r="F332" s="7" t="s">
        <v>8</v>
      </c>
      <c r="G332" s="34">
        <f>G331</f>
        <v>231579</v>
      </c>
      <c r="H332" s="35"/>
    </row>
    <row r="333" spans="1:9" ht="15.75" thickBot="1" x14ac:dyDescent="0.3">
      <c r="A333" s="2" t="s">
        <v>10</v>
      </c>
      <c r="B333" s="6">
        <v>0</v>
      </c>
      <c r="C333" s="11"/>
      <c r="D333" s="6">
        <v>0</v>
      </c>
      <c r="E333" s="7" t="s">
        <v>8</v>
      </c>
      <c r="F333" s="7" t="s">
        <v>8</v>
      </c>
      <c r="G333" s="34">
        <v>0</v>
      </c>
      <c r="H333" s="35"/>
    </row>
    <row r="334" spans="1:9" ht="60.75" thickBot="1" x14ac:dyDescent="0.3">
      <c r="A334" s="2" t="s">
        <v>11</v>
      </c>
      <c r="B334" s="6">
        <f>G334*77%</f>
        <v>92054.27</v>
      </c>
      <c r="C334" s="11"/>
      <c r="D334" s="28">
        <f>G334-B334</f>
        <v>27496.729999999996</v>
      </c>
      <c r="E334" s="7" t="s">
        <v>8</v>
      </c>
      <c r="F334" s="7" t="s">
        <v>8</v>
      </c>
      <c r="G334" s="34">
        <f>120247-696</f>
        <v>119551</v>
      </c>
      <c r="H334" s="35"/>
    </row>
    <row r="335" spans="1:9" ht="30.75" thickBot="1" x14ac:dyDescent="0.3">
      <c r="A335" s="2" t="s">
        <v>12</v>
      </c>
      <c r="B335" s="6">
        <f>G335*77%</f>
        <v>2295.37</v>
      </c>
      <c r="C335" s="11"/>
      <c r="D335" s="28">
        <f>G335-B335</f>
        <v>685.63000000000011</v>
      </c>
      <c r="E335" s="7" t="s">
        <v>8</v>
      </c>
      <c r="F335" s="7" t="s">
        <v>8</v>
      </c>
      <c r="G335" s="34">
        <f>696+1375+910</f>
        <v>2981</v>
      </c>
      <c r="H335" s="35"/>
      <c r="I335" s="9"/>
    </row>
    <row r="336" spans="1:9" ht="15.75" thickBot="1" x14ac:dyDescent="0.3">
      <c r="A336" s="2" t="s">
        <v>13</v>
      </c>
      <c r="B336" s="6">
        <f>G336*56%</f>
        <v>7154.56</v>
      </c>
      <c r="C336" s="6"/>
      <c r="D336" s="28">
        <f>G336-B336</f>
        <v>5621.44</v>
      </c>
      <c r="E336" s="7" t="s">
        <v>8</v>
      </c>
      <c r="F336" s="7" t="s">
        <v>8</v>
      </c>
      <c r="G336" s="34">
        <v>12776</v>
      </c>
      <c r="H336" s="35"/>
    </row>
    <row r="337" spans="1:11" ht="30.75" thickBot="1" x14ac:dyDescent="0.3">
      <c r="A337" s="2" t="s">
        <v>14</v>
      </c>
      <c r="B337" s="6">
        <f>G337*56%</f>
        <v>6721.1200000000008</v>
      </c>
      <c r="C337" s="6"/>
      <c r="D337" s="28">
        <f>G337-B337</f>
        <v>5280.8799999999992</v>
      </c>
      <c r="E337" s="7" t="s">
        <v>8</v>
      </c>
      <c r="F337" s="7" t="s">
        <v>8</v>
      </c>
      <c r="G337" s="34">
        <f>24778-G336</f>
        <v>12002</v>
      </c>
      <c r="H337" s="35"/>
    </row>
    <row r="338" spans="1:11" ht="45.75" thickBot="1" x14ac:dyDescent="0.3">
      <c r="A338" s="2" t="s">
        <v>15</v>
      </c>
      <c r="B338" s="7" t="s">
        <v>8</v>
      </c>
      <c r="C338" s="7" t="s">
        <v>8</v>
      </c>
      <c r="D338" s="6"/>
      <c r="E338" s="7" t="s">
        <v>8</v>
      </c>
      <c r="F338" s="7" t="s">
        <v>8</v>
      </c>
      <c r="G338" s="34"/>
      <c r="H338" s="35"/>
    </row>
    <row r="339" spans="1:11" ht="15.75" thickBot="1" x14ac:dyDescent="0.3">
      <c r="A339" s="2" t="s">
        <v>16</v>
      </c>
      <c r="B339" s="7" t="s">
        <v>8</v>
      </c>
      <c r="C339" s="7" t="s">
        <v>8</v>
      </c>
      <c r="D339" s="11"/>
      <c r="E339" s="6"/>
      <c r="F339" s="6"/>
      <c r="G339" s="34">
        <v>390</v>
      </c>
      <c r="H339" s="35"/>
    </row>
    <row r="340" spans="1:11" ht="15.75" thickBot="1" x14ac:dyDescent="0.3">
      <c r="A340" s="3" t="s">
        <v>17</v>
      </c>
      <c r="B340" s="6">
        <f>G340*56%</f>
        <v>0</v>
      </c>
      <c r="C340" s="7"/>
      <c r="D340" s="6"/>
      <c r="E340" s="6">
        <f>G340-B340</f>
        <v>0</v>
      </c>
      <c r="F340" s="6"/>
      <c r="G340" s="34">
        <v>0</v>
      </c>
      <c r="H340" s="35"/>
    </row>
    <row r="341" spans="1:11" ht="15.75" thickBot="1" x14ac:dyDescent="0.3">
      <c r="A341" s="3" t="s">
        <v>18</v>
      </c>
      <c r="B341" s="6"/>
      <c r="C341" s="7"/>
      <c r="D341" s="7"/>
      <c r="E341" s="6"/>
      <c r="F341" s="6"/>
      <c r="G341" s="34"/>
      <c r="H341" s="35"/>
    </row>
    <row r="342" spans="1:11" ht="45.75" thickBot="1" x14ac:dyDescent="0.3">
      <c r="A342" s="2" t="s">
        <v>19</v>
      </c>
      <c r="B342" s="6"/>
      <c r="C342" s="7"/>
      <c r="D342" s="6"/>
      <c r="E342" s="6"/>
      <c r="F342" s="6"/>
      <c r="G342" s="38"/>
      <c r="H342" s="39"/>
      <c r="J342" s="9"/>
    </row>
    <row r="343" spans="1:11" ht="30.75" thickBot="1" x14ac:dyDescent="0.3">
      <c r="A343" s="2" t="s">
        <v>20</v>
      </c>
      <c r="B343" s="6"/>
      <c r="C343" s="7"/>
      <c r="D343" s="6"/>
      <c r="E343" s="6">
        <f>G343</f>
        <v>71947</v>
      </c>
      <c r="F343" s="6"/>
      <c r="G343" s="34">
        <v>71947</v>
      </c>
      <c r="H343" s="35"/>
    </row>
    <row r="344" spans="1:11" ht="30.75" thickBot="1" x14ac:dyDescent="0.3">
      <c r="A344" s="2" t="s">
        <v>21</v>
      </c>
      <c r="B344" s="6">
        <f>G344*56%</f>
        <v>29576.400000000001</v>
      </c>
      <c r="C344" s="6"/>
      <c r="D344" s="28">
        <f>G344-B344</f>
        <v>23238.6</v>
      </c>
      <c r="E344" s="7" t="s">
        <v>8</v>
      </c>
      <c r="F344" s="7" t="s">
        <v>8</v>
      </c>
      <c r="G344" s="34">
        <f>53205-G339</f>
        <v>52815</v>
      </c>
      <c r="H344" s="35"/>
      <c r="J344" s="9"/>
    </row>
    <row r="345" spans="1:11" ht="15.75" thickBot="1" x14ac:dyDescent="0.3">
      <c r="A345" s="3" t="s">
        <v>22</v>
      </c>
      <c r="B345" s="6">
        <f>G345*56%</f>
        <v>22969.52</v>
      </c>
      <c r="C345" s="6"/>
      <c r="D345" s="28">
        <f>G345-B345</f>
        <v>18047.48</v>
      </c>
      <c r="E345" s="7" t="s">
        <v>8</v>
      </c>
      <c r="F345" s="7" t="s">
        <v>8</v>
      </c>
      <c r="G345" s="34">
        <f>17114+8463+14114+1326</f>
        <v>41017</v>
      </c>
      <c r="H345" s="35"/>
      <c r="J345" s="9"/>
    </row>
    <row r="346" spans="1:11" ht="15.75" thickBot="1" x14ac:dyDescent="0.3">
      <c r="A346" s="3" t="s">
        <v>23</v>
      </c>
      <c r="B346" s="7" t="s">
        <v>8</v>
      </c>
      <c r="C346" s="11"/>
      <c r="D346" s="7" t="s">
        <v>8</v>
      </c>
      <c r="E346" s="7" t="s">
        <v>8</v>
      </c>
      <c r="F346" s="7" t="s">
        <v>8</v>
      </c>
      <c r="G346" s="38"/>
      <c r="H346" s="39"/>
    </row>
    <row r="347" spans="1:11" ht="15.75" thickBot="1" x14ac:dyDescent="0.3">
      <c r="A347" s="3" t="s">
        <v>24</v>
      </c>
      <c r="B347" s="6"/>
      <c r="C347" s="6"/>
      <c r="D347" s="6"/>
      <c r="E347" s="7" t="s">
        <v>8</v>
      </c>
      <c r="F347" s="7" t="s">
        <v>8</v>
      </c>
      <c r="G347" s="34"/>
      <c r="H347" s="35"/>
    </row>
    <row r="348" spans="1:11" ht="15.75" thickBot="1" x14ac:dyDescent="0.3">
      <c r="A348" s="4" t="s">
        <v>25</v>
      </c>
      <c r="B348" s="6">
        <f>SUM(B332:B347)</f>
        <v>339087.07000000007</v>
      </c>
      <c r="C348" s="6"/>
      <c r="D348" s="6">
        <f>SUM(D332:D347)</f>
        <v>133633.93</v>
      </c>
      <c r="E348" s="6">
        <f>SUM(E332:E347)</f>
        <v>71947</v>
      </c>
      <c r="F348" s="6"/>
      <c r="G348" s="34">
        <f>SUM(G332:H347)</f>
        <v>545058</v>
      </c>
      <c r="H348" s="35"/>
      <c r="J348" s="9"/>
    </row>
    <row r="349" spans="1:11" x14ac:dyDescent="0.25">
      <c r="A349" s="36" t="s">
        <v>26</v>
      </c>
      <c r="B349" s="36"/>
      <c r="C349" s="36"/>
      <c r="D349" s="36"/>
      <c r="E349" s="36"/>
      <c r="F349" s="36"/>
      <c r="G349" s="36"/>
      <c r="H349" s="36"/>
    </row>
    <row r="350" spans="1:11" x14ac:dyDescent="0.25">
      <c r="A350" s="37" t="s">
        <v>27</v>
      </c>
      <c r="B350" s="37"/>
      <c r="C350" s="37"/>
      <c r="D350" s="37"/>
      <c r="E350" s="37"/>
      <c r="F350" s="37"/>
      <c r="G350" s="37"/>
      <c r="H350" s="37"/>
    </row>
    <row r="351" spans="1:11" x14ac:dyDescent="0.25">
      <c r="A351" s="37" t="s">
        <v>28</v>
      </c>
      <c r="B351" s="37"/>
      <c r="C351" s="37"/>
      <c r="D351" s="37"/>
      <c r="E351" s="37"/>
      <c r="F351" s="37"/>
      <c r="G351" s="37"/>
      <c r="H351" s="37"/>
      <c r="K351" s="9"/>
    </row>
    <row r="352" spans="1:11" x14ac:dyDescent="0.25">
      <c r="B352" s="9" t="s">
        <v>96</v>
      </c>
      <c r="C352" s="9">
        <v>294899</v>
      </c>
      <c r="K352" s="9"/>
    </row>
    <row r="353" spans="1:8" x14ac:dyDescent="0.25">
      <c r="C353" s="9">
        <f>C352-B348</f>
        <v>-44188.070000000065</v>
      </c>
    </row>
    <row r="358" spans="1:8" x14ac:dyDescent="0.25">
      <c r="A358" s="29"/>
      <c r="B358" s="30"/>
      <c r="C358" s="30"/>
      <c r="D358" s="30"/>
      <c r="E358" s="56" t="s">
        <v>29</v>
      </c>
      <c r="F358" s="56"/>
      <c r="G358" s="56"/>
      <c r="H358" s="56"/>
    </row>
    <row r="359" spans="1:8" x14ac:dyDescent="0.25">
      <c r="A359" s="57"/>
      <c r="B359" s="58"/>
      <c r="C359" s="58"/>
      <c r="D359" s="59"/>
      <c r="E359" s="59" t="s">
        <v>0</v>
      </c>
      <c r="F359" s="59"/>
      <c r="G359" s="59"/>
      <c r="H359" s="59"/>
    </row>
    <row r="360" spans="1:8" x14ac:dyDescent="0.25">
      <c r="A360" s="57"/>
      <c r="B360" s="58"/>
      <c r="C360" s="58"/>
      <c r="D360" s="59"/>
      <c r="E360" s="66" t="s">
        <v>31</v>
      </c>
      <c r="F360" s="59"/>
      <c r="G360" s="59"/>
      <c r="H360" s="59"/>
    </row>
    <row r="361" spans="1:8" ht="15.75" thickBot="1" x14ac:dyDescent="0.3">
      <c r="A361" s="42" t="s">
        <v>106</v>
      </c>
      <c r="B361" s="42"/>
      <c r="C361" s="42"/>
      <c r="D361" s="42"/>
      <c r="E361" s="42"/>
      <c r="F361" s="42"/>
      <c r="G361" s="42"/>
      <c r="H361" s="42"/>
    </row>
    <row r="362" spans="1:8" x14ac:dyDescent="0.25">
      <c r="A362" s="44" t="s">
        <v>2</v>
      </c>
      <c r="B362" s="47" t="s">
        <v>30</v>
      </c>
      <c r="C362" s="48"/>
      <c r="D362" s="48"/>
      <c r="E362" s="48"/>
      <c r="F362" s="48"/>
      <c r="G362" s="49" t="s">
        <v>3</v>
      </c>
      <c r="H362" s="50"/>
    </row>
    <row r="363" spans="1:8" ht="135.75" thickBot="1" x14ac:dyDescent="0.3">
      <c r="A363" s="67"/>
      <c r="B363" s="49" t="s">
        <v>30</v>
      </c>
      <c r="C363" s="49"/>
      <c r="D363" s="14" t="s">
        <v>32</v>
      </c>
      <c r="E363" s="49" t="s">
        <v>4</v>
      </c>
      <c r="F363" s="49"/>
      <c r="G363" s="68"/>
      <c r="H363" s="53"/>
    </row>
    <row r="364" spans="1:8" ht="165.75" thickBot="1" x14ac:dyDescent="0.3">
      <c r="A364" s="46"/>
      <c r="B364" s="13" t="s">
        <v>36</v>
      </c>
      <c r="C364" s="27" t="s">
        <v>5</v>
      </c>
      <c r="D364" s="14" t="s">
        <v>33</v>
      </c>
      <c r="E364" s="27" t="s">
        <v>34</v>
      </c>
      <c r="F364" s="33" t="s">
        <v>35</v>
      </c>
      <c r="G364" s="54"/>
      <c r="H364" s="55"/>
    </row>
    <row r="365" spans="1:8" ht="15.75" thickBot="1" x14ac:dyDescent="0.3">
      <c r="A365" s="26">
        <v>1</v>
      </c>
      <c r="B365" s="33">
        <v>2</v>
      </c>
      <c r="C365" s="10">
        <v>3</v>
      </c>
      <c r="D365" s="33">
        <v>4</v>
      </c>
      <c r="E365" s="10">
        <v>5</v>
      </c>
      <c r="F365" s="33">
        <v>6</v>
      </c>
      <c r="G365" s="40" t="s">
        <v>6</v>
      </c>
      <c r="H365" s="41"/>
    </row>
    <row r="366" spans="1:8" ht="60.75" thickBot="1" x14ac:dyDescent="0.3">
      <c r="A366" s="2" t="s">
        <v>7</v>
      </c>
      <c r="B366" s="6">
        <f>B367</f>
        <v>198929.5</v>
      </c>
      <c r="C366" s="11"/>
      <c r="D366" s="6">
        <f>D367</f>
        <v>59420.5</v>
      </c>
      <c r="E366" s="7" t="s">
        <v>8</v>
      </c>
      <c r="F366" s="7" t="s">
        <v>8</v>
      </c>
      <c r="G366" s="34">
        <f>260829-1569-910</f>
        <v>258350</v>
      </c>
      <c r="H366" s="35"/>
    </row>
    <row r="367" spans="1:8" ht="15.75" thickBot="1" x14ac:dyDescent="0.3">
      <c r="A367" s="3" t="s">
        <v>9</v>
      </c>
      <c r="B367" s="6">
        <f>G367*77%</f>
        <v>198929.5</v>
      </c>
      <c r="C367" s="11"/>
      <c r="D367" s="28">
        <f>G367-B367</f>
        <v>59420.5</v>
      </c>
      <c r="E367" s="7" t="s">
        <v>8</v>
      </c>
      <c r="F367" s="7" t="s">
        <v>8</v>
      </c>
      <c r="G367" s="34">
        <f>G366</f>
        <v>258350</v>
      </c>
      <c r="H367" s="35"/>
    </row>
    <row r="368" spans="1:8" ht="15.75" thickBot="1" x14ac:dyDescent="0.3">
      <c r="A368" s="2" t="s">
        <v>10</v>
      </c>
      <c r="B368" s="6">
        <v>0</v>
      </c>
      <c r="C368" s="11"/>
      <c r="D368" s="6">
        <v>0</v>
      </c>
      <c r="E368" s="7" t="s">
        <v>8</v>
      </c>
      <c r="F368" s="7" t="s">
        <v>8</v>
      </c>
      <c r="G368" s="34">
        <v>0</v>
      </c>
      <c r="H368" s="35"/>
    </row>
    <row r="369" spans="1:11" ht="60.75" thickBot="1" x14ac:dyDescent="0.3">
      <c r="A369" s="2" t="s">
        <v>11</v>
      </c>
      <c r="B369" s="6">
        <f>G369*77%</f>
        <v>100002.98</v>
      </c>
      <c r="C369" s="11"/>
      <c r="D369" s="28">
        <f>G369-B369</f>
        <v>29871.020000000004</v>
      </c>
      <c r="E369" s="7" t="s">
        <v>8</v>
      </c>
      <c r="F369" s="7" t="s">
        <v>8</v>
      </c>
      <c r="G369" s="34">
        <f>130757-760-123</f>
        <v>129874</v>
      </c>
      <c r="H369" s="35"/>
    </row>
    <row r="370" spans="1:11" ht="30.75" thickBot="1" x14ac:dyDescent="0.3">
      <c r="A370" s="2" t="s">
        <v>12</v>
      </c>
      <c r="B370" s="6">
        <f>G370*77%</f>
        <v>2588.7400000000002</v>
      </c>
      <c r="C370" s="11"/>
      <c r="D370" s="28">
        <f>G370-B370</f>
        <v>773.25999999999976</v>
      </c>
      <c r="E370" s="7" t="s">
        <v>8</v>
      </c>
      <c r="F370" s="7" t="s">
        <v>8</v>
      </c>
      <c r="G370" s="34">
        <f>1569+910+123+760</f>
        <v>3362</v>
      </c>
      <c r="H370" s="35"/>
      <c r="I370" s="9">
        <f>G367+G369+G370</f>
        <v>391586</v>
      </c>
    </row>
    <row r="371" spans="1:11" ht="15.75" thickBot="1" x14ac:dyDescent="0.3">
      <c r="A371" s="2" t="s">
        <v>13</v>
      </c>
      <c r="B371" s="6">
        <f>G371*56%</f>
        <v>8137.920000000001</v>
      </c>
      <c r="C371" s="6"/>
      <c r="D371" s="28">
        <f>G371-B371</f>
        <v>6394.079999999999</v>
      </c>
      <c r="E371" s="7" t="s">
        <v>8</v>
      </c>
      <c r="F371" s="7" t="s">
        <v>8</v>
      </c>
      <c r="G371" s="34">
        <v>14532</v>
      </c>
      <c r="H371" s="35"/>
    </row>
    <row r="372" spans="1:11" ht="30.75" thickBot="1" x14ac:dyDescent="0.3">
      <c r="A372" s="2" t="s">
        <v>14</v>
      </c>
      <c r="B372" s="6">
        <f>G372*56%</f>
        <v>7424.4800000000005</v>
      </c>
      <c r="C372" s="6"/>
      <c r="D372" s="28">
        <f>G372-B372</f>
        <v>5833.5199999999995</v>
      </c>
      <c r="E372" s="7" t="s">
        <v>8</v>
      </c>
      <c r="F372" s="7" t="s">
        <v>8</v>
      </c>
      <c r="G372" s="34">
        <v>13258</v>
      </c>
      <c r="H372" s="35"/>
    </row>
    <row r="373" spans="1:11" ht="45.75" thickBot="1" x14ac:dyDescent="0.3">
      <c r="A373" s="2" t="s">
        <v>15</v>
      </c>
      <c r="B373" s="7" t="s">
        <v>8</v>
      </c>
      <c r="C373" s="7" t="s">
        <v>8</v>
      </c>
      <c r="D373" s="6"/>
      <c r="E373" s="7" t="s">
        <v>8</v>
      </c>
      <c r="F373" s="7" t="s">
        <v>8</v>
      </c>
      <c r="G373" s="34"/>
      <c r="H373" s="35"/>
    </row>
    <row r="374" spans="1:11" ht="15.75" thickBot="1" x14ac:dyDescent="0.3">
      <c r="A374" s="2" t="s">
        <v>16</v>
      </c>
      <c r="B374" s="7" t="s">
        <v>8</v>
      </c>
      <c r="C374" s="7" t="s">
        <v>8</v>
      </c>
      <c r="D374" s="11"/>
      <c r="E374" s="6"/>
      <c r="F374" s="6"/>
      <c r="G374" s="34"/>
      <c r="H374" s="35"/>
    </row>
    <row r="375" spans="1:11" ht="15.75" thickBot="1" x14ac:dyDescent="0.3">
      <c r="A375" s="3" t="s">
        <v>17</v>
      </c>
      <c r="B375" s="6">
        <f>G375*56%</f>
        <v>0</v>
      </c>
      <c r="C375" s="7"/>
      <c r="D375" s="6"/>
      <c r="E375" s="6">
        <f>G375-B375</f>
        <v>0</v>
      </c>
      <c r="F375" s="6"/>
      <c r="G375" s="34">
        <v>0</v>
      </c>
      <c r="H375" s="35"/>
    </row>
    <row r="376" spans="1:11" ht="15.75" thickBot="1" x14ac:dyDescent="0.3">
      <c r="A376" s="3" t="s">
        <v>18</v>
      </c>
      <c r="B376" s="6"/>
      <c r="C376" s="7"/>
      <c r="D376" s="7"/>
      <c r="E376" s="6"/>
      <c r="F376" s="6"/>
      <c r="G376" s="34"/>
      <c r="H376" s="35"/>
    </row>
    <row r="377" spans="1:11" ht="45.75" thickBot="1" x14ac:dyDescent="0.3">
      <c r="A377" s="2" t="s">
        <v>19</v>
      </c>
      <c r="B377" s="6"/>
      <c r="C377" s="7"/>
      <c r="D377" s="6"/>
      <c r="E377" s="6"/>
      <c r="F377" s="6"/>
      <c r="G377" s="38"/>
      <c r="H377" s="39"/>
      <c r="J377" s="9"/>
    </row>
    <row r="378" spans="1:11" ht="30.75" thickBot="1" x14ac:dyDescent="0.3">
      <c r="A378" s="2" t="s">
        <v>20</v>
      </c>
      <c r="B378" s="6"/>
      <c r="C378" s="7"/>
      <c r="D378" s="6"/>
      <c r="E378" s="6">
        <f>G378</f>
        <v>79598</v>
      </c>
      <c r="F378" s="6"/>
      <c r="G378" s="34">
        <v>79598</v>
      </c>
      <c r="H378" s="35"/>
    </row>
    <row r="379" spans="1:11" ht="30.75" thickBot="1" x14ac:dyDescent="0.3">
      <c r="A379" s="2" t="s">
        <v>21</v>
      </c>
      <c r="B379" s="6">
        <f>G379*56%</f>
        <v>34110.160000000003</v>
      </c>
      <c r="C379" s="6"/>
      <c r="D379" s="28">
        <f>G379-B379</f>
        <v>26800.839999999997</v>
      </c>
      <c r="E379" s="7" t="s">
        <v>8</v>
      </c>
      <c r="F379" s="7" t="s">
        <v>8</v>
      </c>
      <c r="G379" s="34">
        <v>60911</v>
      </c>
      <c r="H379" s="35"/>
      <c r="J379" s="9"/>
    </row>
    <row r="380" spans="1:11" ht="15.75" thickBot="1" x14ac:dyDescent="0.3">
      <c r="A380" s="3" t="s">
        <v>22</v>
      </c>
      <c r="B380" s="6">
        <f>G380*56%</f>
        <v>23659.440000000002</v>
      </c>
      <c r="C380" s="6"/>
      <c r="D380" s="28">
        <f>G380-B380</f>
        <v>18589.559999999998</v>
      </c>
      <c r="E380" s="7" t="s">
        <v>8</v>
      </c>
      <c r="F380" s="7" t="s">
        <v>8</v>
      </c>
      <c r="G380" s="34">
        <f>17114+8513+1367+15255</f>
        <v>42249</v>
      </c>
      <c r="H380" s="35"/>
      <c r="J380" s="9"/>
      <c r="K380" s="9"/>
    </row>
    <row r="381" spans="1:11" ht="15.75" thickBot="1" x14ac:dyDescent="0.3">
      <c r="A381" s="3" t="s">
        <v>23</v>
      </c>
      <c r="B381" s="7" t="s">
        <v>8</v>
      </c>
      <c r="C381" s="11"/>
      <c r="D381" s="7" t="s">
        <v>8</v>
      </c>
      <c r="E381" s="7" t="s">
        <v>8</v>
      </c>
      <c r="F381" s="7" t="s">
        <v>8</v>
      </c>
      <c r="G381" s="38"/>
      <c r="H381" s="39"/>
    </row>
    <row r="382" spans="1:11" ht="15.75" thickBot="1" x14ac:dyDescent="0.3">
      <c r="A382" s="3" t="s">
        <v>24</v>
      </c>
      <c r="B382" s="6"/>
      <c r="C382" s="6"/>
      <c r="D382" s="6"/>
      <c r="E382" s="7" t="s">
        <v>8</v>
      </c>
      <c r="F382" s="7" t="s">
        <v>8</v>
      </c>
      <c r="G382" s="34"/>
      <c r="H382" s="35"/>
    </row>
    <row r="383" spans="1:11" ht="15.75" thickBot="1" x14ac:dyDescent="0.3">
      <c r="A383" s="4" t="s">
        <v>25</v>
      </c>
      <c r="B383" s="6">
        <f>SUM(B367:B382)</f>
        <v>374853.21999999991</v>
      </c>
      <c r="C383" s="6"/>
      <c r="D383" s="6">
        <f>SUM(D367:D382)</f>
        <v>147682.78</v>
      </c>
      <c r="E383" s="6">
        <f>SUM(E367:E382)</f>
        <v>79598</v>
      </c>
      <c r="F383" s="6"/>
      <c r="G383" s="34">
        <f>SUM(G367:H382)</f>
        <v>602134</v>
      </c>
      <c r="H383" s="35"/>
      <c r="J383" s="9"/>
    </row>
    <row r="384" spans="1:11" x14ac:dyDescent="0.25">
      <c r="A384" s="36" t="s">
        <v>26</v>
      </c>
      <c r="B384" s="36"/>
      <c r="C384" s="36"/>
      <c r="D384" s="36"/>
      <c r="E384" s="36"/>
      <c r="F384" s="36"/>
      <c r="G384" s="36"/>
      <c r="H384" s="36"/>
    </row>
    <row r="385" spans="1:11" x14ac:dyDescent="0.25">
      <c r="A385" s="37" t="s">
        <v>27</v>
      </c>
      <c r="B385" s="37"/>
      <c r="C385" s="37"/>
      <c r="D385" s="37"/>
      <c r="E385" s="37"/>
      <c r="F385" s="37"/>
      <c r="G385" s="37"/>
      <c r="H385" s="37"/>
    </row>
    <row r="386" spans="1:11" x14ac:dyDescent="0.25">
      <c r="A386" s="37" t="s">
        <v>28</v>
      </c>
      <c r="B386" s="37"/>
      <c r="C386" s="37"/>
      <c r="D386" s="37"/>
      <c r="E386" s="37"/>
      <c r="F386" s="37"/>
      <c r="G386" s="37"/>
      <c r="H386" s="37"/>
      <c r="K386" s="9"/>
    </row>
    <row r="387" spans="1:11" x14ac:dyDescent="0.25">
      <c r="B387" s="9" t="s">
        <v>107</v>
      </c>
      <c r="C387" s="9">
        <v>360431</v>
      </c>
      <c r="K387" s="9"/>
    </row>
    <row r="388" spans="1:11" x14ac:dyDescent="0.25">
      <c r="C388" s="9">
        <f>C387-B383</f>
        <v>-14422.219999999914</v>
      </c>
    </row>
    <row r="394" spans="1:11" x14ac:dyDescent="0.25">
      <c r="A394" s="29"/>
      <c r="B394" s="30"/>
      <c r="C394" s="30"/>
      <c r="D394" s="30"/>
      <c r="E394" s="56"/>
      <c r="F394" s="56"/>
      <c r="G394" s="56"/>
      <c r="H394" s="56"/>
    </row>
    <row r="395" spans="1:11" ht="11.45" customHeight="1" x14ac:dyDescent="0.25">
      <c r="A395" s="57"/>
      <c r="B395" s="58"/>
      <c r="C395" s="58"/>
      <c r="D395" s="59"/>
      <c r="E395" s="59"/>
      <c r="F395" s="59"/>
      <c r="G395" s="59"/>
      <c r="H395" s="59"/>
    </row>
    <row r="396" spans="1:11" ht="11.45" customHeight="1" x14ac:dyDescent="0.25">
      <c r="A396" s="57"/>
      <c r="B396" s="58"/>
      <c r="C396" s="58"/>
      <c r="D396" s="59"/>
      <c r="E396" s="31"/>
      <c r="F396" s="31"/>
      <c r="G396" s="31"/>
      <c r="H396" s="31"/>
    </row>
    <row r="397" spans="1:11" x14ac:dyDescent="0.25">
      <c r="A397" s="57"/>
      <c r="B397" s="58"/>
      <c r="C397" s="58"/>
      <c r="D397" s="59"/>
      <c r="E397" s="70"/>
      <c r="F397" s="59"/>
      <c r="G397" s="59"/>
      <c r="H397" s="59"/>
    </row>
    <row r="398" spans="1:11" x14ac:dyDescent="0.25">
      <c r="A398" s="29"/>
      <c r="B398" s="30"/>
      <c r="C398" s="30"/>
      <c r="D398" s="30"/>
      <c r="E398" s="56" t="s">
        <v>29</v>
      </c>
      <c r="F398" s="56"/>
      <c r="G398" s="56"/>
      <c r="H398" s="56"/>
    </row>
    <row r="399" spans="1:11" x14ac:dyDescent="0.25">
      <c r="A399" s="57"/>
      <c r="B399" s="58"/>
      <c r="C399" s="58"/>
      <c r="D399" s="59"/>
      <c r="E399" s="59" t="s">
        <v>0</v>
      </c>
      <c r="F399" s="59"/>
      <c r="G399" s="59"/>
      <c r="H399" s="59"/>
    </row>
    <row r="400" spans="1:11" x14ac:dyDescent="0.25">
      <c r="A400" s="57"/>
      <c r="B400" s="58"/>
      <c r="C400" s="58"/>
      <c r="D400" s="59"/>
      <c r="E400" s="66" t="s">
        <v>31</v>
      </c>
      <c r="F400" s="59"/>
      <c r="G400" s="59"/>
      <c r="H400" s="59"/>
    </row>
    <row r="401" spans="1:10" ht="15.75" thickBot="1" x14ac:dyDescent="0.3">
      <c r="A401" s="43" t="s">
        <v>108</v>
      </c>
      <c r="B401" s="43"/>
      <c r="C401" s="43"/>
      <c r="D401" s="43"/>
      <c r="E401" s="43"/>
      <c r="F401" s="43"/>
      <c r="G401" s="43"/>
      <c r="H401" s="43"/>
    </row>
    <row r="402" spans="1:10" x14ac:dyDescent="0.25">
      <c r="A402" s="82" t="s">
        <v>2</v>
      </c>
      <c r="B402" s="79" t="s">
        <v>30</v>
      </c>
      <c r="C402" s="84"/>
      <c r="D402" s="84"/>
      <c r="E402" s="84"/>
      <c r="F402" s="84"/>
      <c r="G402" s="79" t="s">
        <v>3</v>
      </c>
      <c r="H402" s="80"/>
    </row>
    <row r="403" spans="1:10" ht="135" x14ac:dyDescent="0.25">
      <c r="A403" s="67"/>
      <c r="B403" s="49" t="s">
        <v>61</v>
      </c>
      <c r="C403" s="49"/>
      <c r="D403" s="27" t="s">
        <v>32</v>
      </c>
      <c r="E403" s="49" t="s">
        <v>4</v>
      </c>
      <c r="F403" s="49"/>
      <c r="G403" s="50"/>
      <c r="H403" s="81"/>
    </row>
    <row r="404" spans="1:10" ht="165.75" thickBot="1" x14ac:dyDescent="0.3">
      <c r="A404" s="83"/>
      <c r="B404" s="32" t="s">
        <v>36</v>
      </c>
      <c r="C404" s="32" t="s">
        <v>5</v>
      </c>
      <c r="D404" s="32" t="s">
        <v>33</v>
      </c>
      <c r="E404" s="32" t="s">
        <v>34</v>
      </c>
      <c r="F404" s="32" t="s">
        <v>35</v>
      </c>
      <c r="G404" s="75" t="s">
        <v>6</v>
      </c>
      <c r="H404" s="76"/>
    </row>
    <row r="405" spans="1:10" ht="15.75" thickBot="1" x14ac:dyDescent="0.3">
      <c r="A405" s="26">
        <v>1</v>
      </c>
      <c r="B405" s="33">
        <v>2</v>
      </c>
      <c r="C405" s="10">
        <v>3</v>
      </c>
      <c r="D405" s="33">
        <v>4</v>
      </c>
      <c r="E405" s="10">
        <v>5</v>
      </c>
      <c r="F405" s="33">
        <v>6</v>
      </c>
      <c r="G405" s="77">
        <v>7</v>
      </c>
      <c r="H405" s="78"/>
    </row>
    <row r="406" spans="1:10" ht="60.75" thickBot="1" x14ac:dyDescent="0.3">
      <c r="A406" s="2" t="s">
        <v>7</v>
      </c>
      <c r="B406" s="6">
        <f>B407</f>
        <v>221155.55000000002</v>
      </c>
      <c r="C406" s="20" t="s">
        <v>8</v>
      </c>
      <c r="D406" s="6">
        <f>D407</f>
        <v>66059.449999999983</v>
      </c>
      <c r="E406" s="7" t="s">
        <v>8</v>
      </c>
      <c r="F406" s="7" t="s">
        <v>8</v>
      </c>
      <c r="G406" s="34">
        <f>294532-6407-910</f>
        <v>287215</v>
      </c>
      <c r="H406" s="35"/>
    </row>
    <row r="407" spans="1:10" ht="15.75" thickBot="1" x14ac:dyDescent="0.3">
      <c r="A407" s="3" t="s">
        <v>9</v>
      </c>
      <c r="B407" s="6">
        <f>G407*77%</f>
        <v>221155.55000000002</v>
      </c>
      <c r="C407" s="20" t="s">
        <v>8</v>
      </c>
      <c r="D407" s="28">
        <f>G407-B407</f>
        <v>66059.449999999983</v>
      </c>
      <c r="E407" s="7" t="s">
        <v>8</v>
      </c>
      <c r="F407" s="7" t="s">
        <v>8</v>
      </c>
      <c r="G407" s="34">
        <f>G406</f>
        <v>287215</v>
      </c>
      <c r="H407" s="35"/>
    </row>
    <row r="408" spans="1:10" ht="15.75" thickBot="1" x14ac:dyDescent="0.3">
      <c r="A408" s="2" t="s">
        <v>10</v>
      </c>
      <c r="B408" s="6">
        <v>0</v>
      </c>
      <c r="C408" s="20" t="s">
        <v>8</v>
      </c>
      <c r="D408" s="6">
        <v>0</v>
      </c>
      <c r="E408" s="7" t="s">
        <v>8</v>
      </c>
      <c r="F408" s="7" t="s">
        <v>8</v>
      </c>
      <c r="G408" s="34">
        <v>0</v>
      </c>
      <c r="H408" s="35"/>
    </row>
    <row r="409" spans="1:10" ht="60.75" thickBot="1" x14ac:dyDescent="0.3">
      <c r="A409" s="2" t="s">
        <v>11</v>
      </c>
      <c r="B409" s="6">
        <f>G409*77%</f>
        <v>108658.55</v>
      </c>
      <c r="C409" s="20" t="s">
        <v>8</v>
      </c>
      <c r="D409" s="28">
        <f>G409-B409</f>
        <v>32456.449999999997</v>
      </c>
      <c r="E409" s="7" t="s">
        <v>8</v>
      </c>
      <c r="F409" s="7" t="s">
        <v>8</v>
      </c>
      <c r="G409" s="34">
        <f>143597-2359-123</f>
        <v>141115</v>
      </c>
      <c r="H409" s="35"/>
    </row>
    <row r="410" spans="1:10" ht="30.75" thickBot="1" x14ac:dyDescent="0.3">
      <c r="A410" s="2" t="s">
        <v>12</v>
      </c>
      <c r="B410" s="6">
        <f>G410*77%</f>
        <v>7545.2300000000005</v>
      </c>
      <c r="C410" s="20" t="s">
        <v>8</v>
      </c>
      <c r="D410" s="28">
        <f>G410-B410</f>
        <v>2253.7699999999995</v>
      </c>
      <c r="E410" s="7" t="s">
        <v>8</v>
      </c>
      <c r="F410" s="7" t="s">
        <v>8</v>
      </c>
      <c r="G410" s="34">
        <f>2359+123+6407+910</f>
        <v>9799</v>
      </c>
      <c r="H410" s="35"/>
      <c r="I410" s="9"/>
    </row>
    <row r="411" spans="1:10" ht="15.75" thickBot="1" x14ac:dyDescent="0.3">
      <c r="A411" s="2" t="s">
        <v>13</v>
      </c>
      <c r="B411" s="6">
        <f>G411*56%</f>
        <v>9190.7200000000012</v>
      </c>
      <c r="C411" s="20" t="s">
        <v>8</v>
      </c>
      <c r="D411" s="28">
        <f>G411-B411</f>
        <v>7221.2799999999988</v>
      </c>
      <c r="E411" s="7" t="s">
        <v>8</v>
      </c>
      <c r="F411" s="7" t="s">
        <v>8</v>
      </c>
      <c r="G411" s="34">
        <v>16412</v>
      </c>
      <c r="H411" s="35"/>
    </row>
    <row r="412" spans="1:10" ht="30.75" thickBot="1" x14ac:dyDescent="0.3">
      <c r="A412" s="2" t="s">
        <v>14</v>
      </c>
      <c r="B412" s="6">
        <f>G412*56%</f>
        <v>12012.000000000002</v>
      </c>
      <c r="C412" s="20" t="s">
        <v>8</v>
      </c>
      <c r="D412" s="28">
        <f>G412-B412</f>
        <v>9437.9999999999982</v>
      </c>
      <c r="E412" s="7" t="s">
        <v>8</v>
      </c>
      <c r="F412" s="7" t="s">
        <v>8</v>
      </c>
      <c r="G412" s="34">
        <f>37862-G411</f>
        <v>21450</v>
      </c>
      <c r="H412" s="35"/>
      <c r="J412" s="9"/>
    </row>
    <row r="413" spans="1:10" ht="45.75" thickBot="1" x14ac:dyDescent="0.3">
      <c r="A413" s="2" t="s">
        <v>15</v>
      </c>
      <c r="B413" s="7" t="s">
        <v>8</v>
      </c>
      <c r="C413" s="7" t="s">
        <v>8</v>
      </c>
      <c r="D413" s="6"/>
      <c r="E413" s="7" t="s">
        <v>8</v>
      </c>
      <c r="F413" s="7" t="s">
        <v>8</v>
      </c>
      <c r="G413" s="34"/>
      <c r="H413" s="35"/>
    </row>
    <row r="414" spans="1:10" ht="15.75" thickBot="1" x14ac:dyDescent="0.3">
      <c r="A414" s="2" t="s">
        <v>16</v>
      </c>
      <c r="B414" s="7" t="s">
        <v>8</v>
      </c>
      <c r="C414" s="7" t="s">
        <v>8</v>
      </c>
      <c r="D414" s="7" t="s">
        <v>8</v>
      </c>
      <c r="E414" s="6">
        <v>0</v>
      </c>
      <c r="F414" s="6"/>
      <c r="G414" s="34">
        <v>0</v>
      </c>
      <c r="H414" s="35"/>
    </row>
    <row r="415" spans="1:10" ht="15.75" thickBot="1" x14ac:dyDescent="0.3">
      <c r="A415" s="3" t="s">
        <v>17</v>
      </c>
      <c r="B415" s="7" t="s">
        <v>8</v>
      </c>
      <c r="C415" s="7" t="s">
        <v>8</v>
      </c>
      <c r="D415" s="7" t="s">
        <v>8</v>
      </c>
      <c r="E415" s="6"/>
      <c r="F415" s="6"/>
      <c r="G415" s="34">
        <v>0</v>
      </c>
      <c r="H415" s="35"/>
    </row>
    <row r="416" spans="1:10" ht="15.75" thickBot="1" x14ac:dyDescent="0.3">
      <c r="A416" s="3" t="s">
        <v>18</v>
      </c>
      <c r="B416" s="7" t="s">
        <v>8</v>
      </c>
      <c r="C416" s="7" t="s">
        <v>8</v>
      </c>
      <c r="D416" s="7" t="s">
        <v>8</v>
      </c>
      <c r="E416" s="6"/>
      <c r="F416" s="6"/>
      <c r="G416" s="34"/>
      <c r="H416" s="35"/>
    </row>
    <row r="417" spans="1:11" ht="45.75" thickBot="1" x14ac:dyDescent="0.3">
      <c r="A417" s="2" t="s">
        <v>19</v>
      </c>
      <c r="B417" s="7" t="s">
        <v>8</v>
      </c>
      <c r="C417" s="7" t="s">
        <v>8</v>
      </c>
      <c r="D417" s="7" t="s">
        <v>8</v>
      </c>
      <c r="E417" s="6"/>
      <c r="F417" s="6"/>
      <c r="G417" s="38"/>
      <c r="H417" s="39"/>
      <c r="J417" s="9"/>
    </row>
    <row r="418" spans="1:11" ht="30.75" thickBot="1" x14ac:dyDescent="0.3">
      <c r="A418" s="2" t="s">
        <v>20</v>
      </c>
      <c r="B418" s="7" t="s">
        <v>8</v>
      </c>
      <c r="C418" s="7" t="s">
        <v>8</v>
      </c>
      <c r="D418" s="7" t="s">
        <v>8</v>
      </c>
      <c r="E418" s="6">
        <f>G418</f>
        <v>86946</v>
      </c>
      <c r="F418" s="6"/>
      <c r="G418" s="34">
        <v>86946</v>
      </c>
      <c r="H418" s="35"/>
    </row>
    <row r="419" spans="1:11" ht="30.75" thickBot="1" x14ac:dyDescent="0.3">
      <c r="A419" s="2" t="s">
        <v>21</v>
      </c>
      <c r="B419" s="6">
        <f>G419*56%</f>
        <v>37710.960000000006</v>
      </c>
      <c r="C419" s="7" t="s">
        <v>8</v>
      </c>
      <c r="D419" s="28">
        <f>G419-B419</f>
        <v>29630.039999999994</v>
      </c>
      <c r="E419" s="7" t="s">
        <v>8</v>
      </c>
      <c r="F419" s="7" t="s">
        <v>8</v>
      </c>
      <c r="G419" s="34">
        <v>67341</v>
      </c>
      <c r="H419" s="35"/>
      <c r="J419" s="9"/>
    </row>
    <row r="420" spans="1:11" ht="15.75" thickBot="1" x14ac:dyDescent="0.3">
      <c r="A420" s="3" t="s">
        <v>22</v>
      </c>
      <c r="B420" s="6">
        <f>G420*56%</f>
        <v>24315.200000000001</v>
      </c>
      <c r="C420" s="7" t="s">
        <v>8</v>
      </c>
      <c r="D420" s="28">
        <f>G420-B420</f>
        <v>19104.8</v>
      </c>
      <c r="E420" s="7" t="s">
        <v>8</v>
      </c>
      <c r="F420" s="7" t="s">
        <v>8</v>
      </c>
      <c r="G420" s="34">
        <f>17114+8513+16344+1449</f>
        <v>43420</v>
      </c>
      <c r="H420" s="35"/>
      <c r="J420" s="9"/>
      <c r="K420" s="9"/>
    </row>
    <row r="421" spans="1:11" ht="15.75" thickBot="1" x14ac:dyDescent="0.3">
      <c r="A421" s="3" t="s">
        <v>23</v>
      </c>
      <c r="B421" s="7" t="s">
        <v>8</v>
      </c>
      <c r="C421" s="7"/>
      <c r="D421" s="7" t="s">
        <v>8</v>
      </c>
      <c r="E421" s="7" t="s">
        <v>8</v>
      </c>
      <c r="F421" s="7" t="s">
        <v>8</v>
      </c>
      <c r="G421" s="38"/>
      <c r="H421" s="39"/>
    </row>
    <row r="422" spans="1:11" ht="15.75" thickBot="1" x14ac:dyDescent="0.3">
      <c r="A422" s="3" t="s">
        <v>24</v>
      </c>
      <c r="B422" s="6"/>
      <c r="C422" s="7" t="s">
        <v>8</v>
      </c>
      <c r="D422" s="6"/>
      <c r="E422" s="7" t="s">
        <v>8</v>
      </c>
      <c r="F422" s="7" t="s">
        <v>8</v>
      </c>
      <c r="G422" s="34"/>
      <c r="H422" s="35"/>
    </row>
    <row r="423" spans="1:11" ht="15.75" thickBot="1" x14ac:dyDescent="0.3">
      <c r="A423" s="4" t="s">
        <v>25</v>
      </c>
      <c r="B423" s="6">
        <f>SUM(B407:B422)</f>
        <v>420588.21000000008</v>
      </c>
      <c r="C423" s="6"/>
      <c r="D423" s="6">
        <f>SUM(D407:D422)</f>
        <v>166163.78999999998</v>
      </c>
      <c r="E423" s="6">
        <f>SUM(E407:E422)</f>
        <v>86946</v>
      </c>
      <c r="F423" s="6"/>
      <c r="G423" s="34">
        <f>SUM(G407:H422)</f>
        <v>673698</v>
      </c>
      <c r="H423" s="35"/>
      <c r="J423" s="9"/>
    </row>
    <row r="424" spans="1:11" x14ac:dyDescent="0.25">
      <c r="A424" s="71" t="s">
        <v>63</v>
      </c>
      <c r="B424" s="72"/>
      <c r="C424" s="72"/>
      <c r="D424" s="72"/>
      <c r="E424" s="72"/>
      <c r="F424" s="72"/>
      <c r="G424" s="72"/>
      <c r="H424" s="72"/>
      <c r="J424" s="9"/>
    </row>
    <row r="425" spans="1:11" x14ac:dyDescent="0.25">
      <c r="A425" s="73"/>
      <c r="B425" s="73"/>
      <c r="C425" s="73"/>
      <c r="D425" s="73"/>
      <c r="E425" s="73"/>
      <c r="F425" s="73"/>
      <c r="G425" s="73"/>
      <c r="H425" s="73"/>
      <c r="J425" s="9"/>
    </row>
    <row r="426" spans="1:11" ht="76.150000000000006" customHeight="1" thickBot="1" x14ac:dyDescent="0.3">
      <c r="A426" s="74"/>
      <c r="B426" s="74"/>
      <c r="C426" s="74"/>
      <c r="D426" s="74"/>
      <c r="E426" s="74"/>
      <c r="F426" s="74"/>
      <c r="G426" s="74"/>
      <c r="H426" s="74"/>
      <c r="J426" s="9"/>
    </row>
    <row r="427" spans="1:11" x14ac:dyDescent="0.25">
      <c r="B427" s="9" t="s">
        <v>109</v>
      </c>
      <c r="C427" s="9">
        <v>395644</v>
      </c>
      <c r="K427" s="9"/>
    </row>
    <row r="428" spans="1:11" x14ac:dyDescent="0.25">
      <c r="C428" s="9">
        <f>C427-B423</f>
        <v>-24944.210000000079</v>
      </c>
    </row>
    <row r="437" spans="1:8" s="16" customFormat="1" x14ac:dyDescent="0.25">
      <c r="B437" s="17"/>
      <c r="C437" s="17"/>
      <c r="D437" s="17"/>
      <c r="E437" s="17"/>
      <c r="F437" s="17"/>
      <c r="G437" s="17"/>
      <c r="H437" s="17"/>
    </row>
    <row r="438" spans="1:8" s="16" customFormat="1" x14ac:dyDescent="0.25">
      <c r="B438" s="17"/>
      <c r="C438" s="17"/>
      <c r="D438" s="17"/>
      <c r="E438" s="17"/>
      <c r="F438" s="17"/>
      <c r="G438" s="17"/>
      <c r="H438" s="17"/>
    </row>
    <row r="440" spans="1:8" x14ac:dyDescent="0.25">
      <c r="A440" s="29"/>
      <c r="B440" s="30"/>
      <c r="C440" s="30"/>
      <c r="D440" s="30"/>
      <c r="E440" s="56" t="s">
        <v>29</v>
      </c>
      <c r="F440" s="56"/>
      <c r="G440" s="56"/>
      <c r="H440" s="56"/>
    </row>
    <row r="441" spans="1:8" x14ac:dyDescent="0.25">
      <c r="A441" s="57"/>
      <c r="B441" s="58"/>
      <c r="C441" s="58"/>
      <c r="D441" s="59"/>
      <c r="E441" s="59" t="s">
        <v>0</v>
      </c>
      <c r="F441" s="59"/>
      <c r="G441" s="59"/>
      <c r="H441" s="59"/>
    </row>
    <row r="442" spans="1:8" x14ac:dyDescent="0.25">
      <c r="A442" s="57"/>
      <c r="B442" s="58"/>
      <c r="C442" s="58"/>
      <c r="D442" s="59"/>
      <c r="E442" s="70" t="s">
        <v>31</v>
      </c>
      <c r="F442" s="70"/>
      <c r="G442" s="70"/>
      <c r="H442" s="70"/>
    </row>
    <row r="443" spans="1:8" ht="15.75" thickBot="1" x14ac:dyDescent="0.3">
      <c r="A443" s="42" t="s">
        <v>51</v>
      </c>
      <c r="B443" s="42"/>
      <c r="C443" s="42"/>
      <c r="D443" s="42"/>
      <c r="E443" s="42"/>
      <c r="F443" s="42"/>
      <c r="G443" s="42"/>
      <c r="H443" s="42"/>
    </row>
    <row r="444" spans="1:8" x14ac:dyDescent="0.25">
      <c r="A444" s="82" t="s">
        <v>2</v>
      </c>
      <c r="B444" s="47" t="s">
        <v>30</v>
      </c>
      <c r="C444" s="85"/>
      <c r="D444" s="85"/>
      <c r="E444" s="85"/>
      <c r="F444" s="86"/>
      <c r="G444" s="87" t="s">
        <v>3</v>
      </c>
      <c r="H444" s="88"/>
    </row>
    <row r="445" spans="1:8" ht="135.75" thickBot="1" x14ac:dyDescent="0.3">
      <c r="A445" s="67"/>
      <c r="B445" s="89" t="s">
        <v>30</v>
      </c>
      <c r="C445" s="90"/>
      <c r="D445" s="14" t="s">
        <v>32</v>
      </c>
      <c r="E445" s="89" t="s">
        <v>4</v>
      </c>
      <c r="F445" s="90"/>
      <c r="G445" s="91"/>
      <c r="H445" s="92"/>
    </row>
    <row r="446" spans="1:8" ht="165.75" thickBot="1" x14ac:dyDescent="0.3">
      <c r="A446" s="83"/>
      <c r="B446" s="13" t="s">
        <v>36</v>
      </c>
      <c r="C446" s="27" t="s">
        <v>5</v>
      </c>
      <c r="D446" s="14" t="s">
        <v>33</v>
      </c>
      <c r="E446" s="27" t="s">
        <v>34</v>
      </c>
      <c r="F446" s="33" t="s">
        <v>35</v>
      </c>
      <c r="G446" s="54"/>
      <c r="H446" s="55"/>
    </row>
    <row r="447" spans="1:8" ht="15.75" thickBot="1" x14ac:dyDescent="0.3">
      <c r="A447" s="26">
        <v>1</v>
      </c>
      <c r="B447" s="33">
        <v>2</v>
      </c>
      <c r="C447" s="10">
        <v>3</v>
      </c>
      <c r="D447" s="33">
        <v>4</v>
      </c>
      <c r="E447" s="10">
        <v>5</v>
      </c>
      <c r="F447" s="33">
        <v>6</v>
      </c>
      <c r="G447" s="40" t="s">
        <v>6</v>
      </c>
      <c r="H447" s="41"/>
    </row>
    <row r="448" spans="1:8" ht="60.75" thickBot="1" x14ac:dyDescent="0.3">
      <c r="A448" s="2" t="s">
        <v>7</v>
      </c>
      <c r="B448" s="6">
        <f>B449</f>
        <v>65030.35</v>
      </c>
      <c r="C448" s="11"/>
      <c r="D448" s="6">
        <f>D449</f>
        <v>19424.650000000001</v>
      </c>
      <c r="E448" s="7" t="s">
        <v>8</v>
      </c>
      <c r="F448" s="7" t="s">
        <v>8</v>
      </c>
      <c r="G448" s="34">
        <f>87470-1043-2039+67</f>
        <v>84455</v>
      </c>
      <c r="H448" s="35"/>
    </row>
    <row r="449" spans="1:9" ht="15.75" thickBot="1" x14ac:dyDescent="0.3">
      <c r="A449" s="3" t="s">
        <v>9</v>
      </c>
      <c r="B449" s="6">
        <f>G449*77%</f>
        <v>65030.35</v>
      </c>
      <c r="C449" s="11"/>
      <c r="D449" s="28">
        <f>G449-B449</f>
        <v>19424.650000000001</v>
      </c>
      <c r="E449" s="7" t="s">
        <v>8</v>
      </c>
      <c r="F449" s="7" t="s">
        <v>8</v>
      </c>
      <c r="G449" s="34">
        <f>G448</f>
        <v>84455</v>
      </c>
      <c r="H449" s="35"/>
    </row>
    <row r="450" spans="1:9" ht="15.75" thickBot="1" x14ac:dyDescent="0.3">
      <c r="A450" s="2" t="s">
        <v>10</v>
      </c>
      <c r="B450" s="6">
        <v>0</v>
      </c>
      <c r="C450" s="11"/>
      <c r="D450" s="6">
        <v>0</v>
      </c>
      <c r="E450" s="7" t="s">
        <v>8</v>
      </c>
      <c r="F450" s="7" t="s">
        <v>8</v>
      </c>
      <c r="G450" s="34">
        <v>0</v>
      </c>
      <c r="H450" s="35"/>
    </row>
    <row r="451" spans="1:9" ht="60.75" thickBot="1" x14ac:dyDescent="0.3">
      <c r="A451" s="2" t="s">
        <v>11</v>
      </c>
      <c r="B451" s="6">
        <f t="shared" ref="B451" si="4">G451*77%</f>
        <v>29831.34</v>
      </c>
      <c r="C451" s="11"/>
      <c r="D451" s="28">
        <f>G451-B451</f>
        <v>8910.66</v>
      </c>
      <c r="E451" s="7" t="s">
        <v>8</v>
      </c>
      <c r="F451" s="7" t="s">
        <v>8</v>
      </c>
      <c r="G451" s="34">
        <f>39473-731</f>
        <v>38742</v>
      </c>
      <c r="H451" s="35"/>
    </row>
    <row r="452" spans="1:9" ht="30.75" thickBot="1" x14ac:dyDescent="0.3">
      <c r="A452" s="2" t="s">
        <v>12</v>
      </c>
      <c r="B452" s="6">
        <f>G452*77%</f>
        <v>2936.01</v>
      </c>
      <c r="C452" s="11"/>
      <c r="D452" s="28">
        <f>G452-B452</f>
        <v>876.98999999999978</v>
      </c>
      <c r="E452" s="7" t="s">
        <v>8</v>
      </c>
      <c r="F452" s="7" t="s">
        <v>8</v>
      </c>
      <c r="G452" s="34">
        <f>3082+731</f>
        <v>3813</v>
      </c>
      <c r="H452" s="35"/>
      <c r="I452" s="9"/>
    </row>
    <row r="453" spans="1:9" ht="15.75" thickBot="1" x14ac:dyDescent="0.3">
      <c r="A453" s="2" t="s">
        <v>13</v>
      </c>
      <c r="B453" s="6">
        <f>G453*56%</f>
        <v>5639.2000000000007</v>
      </c>
      <c r="C453" s="6"/>
      <c r="D453" s="28">
        <f>G453-B453</f>
        <v>4430.7999999999993</v>
      </c>
      <c r="E453" s="7" t="s">
        <v>8</v>
      </c>
      <c r="F453" s="7" t="s">
        <v>8</v>
      </c>
      <c r="G453" s="34">
        <v>10070</v>
      </c>
      <c r="H453" s="35"/>
    </row>
    <row r="454" spans="1:9" ht="30.75" thickBot="1" x14ac:dyDescent="0.3">
      <c r="A454" s="2" t="s">
        <v>14</v>
      </c>
      <c r="B454" s="6">
        <f>G454*56%</f>
        <v>3045.28</v>
      </c>
      <c r="C454" s="6"/>
      <c r="D454" s="28">
        <f>G454-B454</f>
        <v>2392.7199999999998</v>
      </c>
      <c r="E454" s="7" t="s">
        <v>8</v>
      </c>
      <c r="F454" s="7" t="s">
        <v>8</v>
      </c>
      <c r="G454" s="34">
        <f>3191+2247</f>
        <v>5438</v>
      </c>
      <c r="H454" s="35"/>
    </row>
    <row r="455" spans="1:9" ht="45.75" thickBot="1" x14ac:dyDescent="0.3">
      <c r="A455" s="2" t="s">
        <v>15</v>
      </c>
      <c r="B455" s="7" t="s">
        <v>8</v>
      </c>
      <c r="C455" s="7" t="s">
        <v>8</v>
      </c>
      <c r="D455" s="6"/>
      <c r="E455" s="7" t="s">
        <v>8</v>
      </c>
      <c r="F455" s="7" t="s">
        <v>8</v>
      </c>
      <c r="G455" s="34"/>
      <c r="H455" s="35"/>
    </row>
    <row r="456" spans="1:9" ht="15.75" thickBot="1" x14ac:dyDescent="0.3">
      <c r="A456" s="2" t="s">
        <v>16</v>
      </c>
      <c r="B456" s="7" t="s">
        <v>8</v>
      </c>
      <c r="C456" s="7" t="s">
        <v>8</v>
      </c>
      <c r="D456" s="11"/>
      <c r="E456" s="6"/>
      <c r="F456" s="6"/>
      <c r="G456" s="34"/>
      <c r="H456" s="35"/>
    </row>
    <row r="457" spans="1:9" ht="15.75" thickBot="1" x14ac:dyDescent="0.3">
      <c r="A457" s="3" t="s">
        <v>17</v>
      </c>
      <c r="B457" s="6">
        <f>G457*56%</f>
        <v>0</v>
      </c>
      <c r="C457" s="7"/>
      <c r="D457" s="6"/>
      <c r="E457" s="6">
        <f>G457-B457</f>
        <v>0</v>
      </c>
      <c r="F457" s="6"/>
      <c r="G457" s="34">
        <v>0</v>
      </c>
      <c r="H457" s="35"/>
    </row>
    <row r="458" spans="1:9" ht="15.75" thickBot="1" x14ac:dyDescent="0.3">
      <c r="A458" s="3" t="s">
        <v>18</v>
      </c>
      <c r="B458" s="6"/>
      <c r="C458" s="7"/>
      <c r="D458" s="7"/>
      <c r="E458" s="6"/>
      <c r="F458" s="6"/>
      <c r="G458" s="34"/>
      <c r="H458" s="35"/>
    </row>
    <row r="459" spans="1:9" ht="45.75" thickBot="1" x14ac:dyDescent="0.3">
      <c r="A459" s="2" t="s">
        <v>19</v>
      </c>
      <c r="B459" s="6"/>
      <c r="C459" s="7"/>
      <c r="D459" s="6"/>
      <c r="E459" s="6"/>
      <c r="F459" s="6"/>
      <c r="G459" s="38"/>
      <c r="H459" s="39"/>
    </row>
    <row r="460" spans="1:9" ht="30.75" thickBot="1" x14ac:dyDescent="0.3">
      <c r="A460" s="2" t="s">
        <v>20</v>
      </c>
      <c r="B460" s="6"/>
      <c r="C460" s="7"/>
      <c r="D460" s="6"/>
      <c r="E460" s="6">
        <v>0</v>
      </c>
      <c r="F460" s="6"/>
      <c r="G460" s="34">
        <v>18954</v>
      </c>
      <c r="H460" s="35"/>
    </row>
    <row r="461" spans="1:9" ht="30.75" thickBot="1" x14ac:dyDescent="0.3">
      <c r="A461" s="2" t="s">
        <v>21</v>
      </c>
      <c r="B461" s="6">
        <f>G461*56%</f>
        <v>12274.080000000002</v>
      </c>
      <c r="C461" s="6"/>
      <c r="D461" s="28">
        <f>G461-B461</f>
        <v>9643.9199999999983</v>
      </c>
      <c r="E461" s="7" t="s">
        <v>8</v>
      </c>
      <c r="F461" s="7" t="s">
        <v>8</v>
      </c>
      <c r="G461" s="34">
        <f>21269+649</f>
        <v>21918</v>
      </c>
      <c r="H461" s="35"/>
    </row>
    <row r="462" spans="1:9" ht="15.75" thickBot="1" x14ac:dyDescent="0.3">
      <c r="A462" s="3" t="s">
        <v>22</v>
      </c>
      <c r="B462" s="6">
        <f>G462*56%</f>
        <v>15130.640000000001</v>
      </c>
      <c r="C462" s="6"/>
      <c r="D462" s="28">
        <f>G462-B462</f>
        <v>11888.359999999999</v>
      </c>
      <c r="E462" s="7" t="s">
        <v>8</v>
      </c>
      <c r="F462" s="7" t="s">
        <v>8</v>
      </c>
      <c r="G462" s="34">
        <f>8084+10+3605+15320</f>
        <v>27019</v>
      </c>
      <c r="H462" s="35"/>
    </row>
    <row r="463" spans="1:9" ht="15.75" thickBot="1" x14ac:dyDescent="0.3">
      <c r="A463" s="3" t="s">
        <v>23</v>
      </c>
      <c r="B463" s="7" t="s">
        <v>8</v>
      </c>
      <c r="C463" s="11"/>
      <c r="D463" s="7" t="s">
        <v>8</v>
      </c>
      <c r="E463" s="7" t="s">
        <v>8</v>
      </c>
      <c r="F463" s="7" t="s">
        <v>8</v>
      </c>
      <c r="G463" s="38"/>
      <c r="H463" s="39"/>
    </row>
    <row r="464" spans="1:9" ht="15.75" thickBot="1" x14ac:dyDescent="0.3">
      <c r="A464" s="3" t="s">
        <v>24</v>
      </c>
      <c r="B464" s="6"/>
      <c r="C464" s="6"/>
      <c r="D464" s="6"/>
      <c r="E464" s="7" t="s">
        <v>8</v>
      </c>
      <c r="F464" s="7" t="s">
        <v>8</v>
      </c>
      <c r="G464" s="34"/>
      <c r="H464" s="35"/>
    </row>
    <row r="465" spans="1:11" ht="15.75" hidden="1" thickBot="1" x14ac:dyDescent="0.3">
      <c r="A465" s="4" t="s">
        <v>25</v>
      </c>
      <c r="B465" s="6">
        <f>SUM(B449:B464)</f>
        <v>133886.9</v>
      </c>
      <c r="C465" s="6"/>
      <c r="D465" s="6">
        <f>SUM(D449:D464)</f>
        <v>57568.100000000006</v>
      </c>
      <c r="E465" s="6">
        <f>SUM(E449:E464)</f>
        <v>0</v>
      </c>
      <c r="F465" s="6"/>
      <c r="G465" s="34">
        <f>SUM(G449:H464)</f>
        <v>210409</v>
      </c>
      <c r="H465" s="35"/>
    </row>
    <row r="466" spans="1:11" hidden="1" x14ac:dyDescent="0.25">
      <c r="A466" s="36" t="s">
        <v>26</v>
      </c>
      <c r="B466" s="36"/>
      <c r="C466" s="36"/>
      <c r="D466" s="36"/>
      <c r="E466" s="36"/>
      <c r="F466" s="36"/>
      <c r="G466" s="36"/>
      <c r="H466" s="36"/>
    </row>
    <row r="467" spans="1:11" hidden="1" x14ac:dyDescent="0.25">
      <c r="A467" s="37" t="s">
        <v>27</v>
      </c>
      <c r="B467" s="37"/>
      <c r="C467" s="37"/>
      <c r="D467" s="37"/>
      <c r="E467" s="37"/>
      <c r="F467" s="37"/>
      <c r="G467" s="37"/>
      <c r="H467" s="37"/>
    </row>
    <row r="468" spans="1:11" hidden="1" x14ac:dyDescent="0.25">
      <c r="A468" s="37" t="s">
        <v>28</v>
      </c>
      <c r="B468" s="37"/>
      <c r="C468" s="37"/>
      <c r="D468" s="37"/>
      <c r="E468" s="37"/>
      <c r="F468" s="37"/>
      <c r="G468" s="37"/>
      <c r="H468" s="37"/>
      <c r="K468" s="9" t="e">
        <f>#REF!-#REF!</f>
        <v>#REF!</v>
      </c>
    </row>
    <row r="469" spans="1:11" hidden="1" x14ac:dyDescent="0.25">
      <c r="B469" s="9" t="s">
        <v>54</v>
      </c>
      <c r="C469" s="9">
        <v>124022</v>
      </c>
      <c r="K469" s="9" t="e">
        <f>K468-244898</f>
        <v>#REF!</v>
      </c>
    </row>
    <row r="470" spans="1:11" hidden="1" x14ac:dyDescent="0.25">
      <c r="C470" s="9">
        <f>C469-B465</f>
        <v>-9864.8999999999942</v>
      </c>
    </row>
    <row r="471" spans="1:11" hidden="1" x14ac:dyDescent="0.25"/>
    <row r="472" spans="1:11" hidden="1" x14ac:dyDescent="0.25"/>
    <row r="473" spans="1:11" hidden="1" x14ac:dyDescent="0.25"/>
    <row r="474" spans="1:11" hidden="1" x14ac:dyDescent="0.25">
      <c r="A474" s="29"/>
      <c r="B474" s="30"/>
      <c r="C474" s="30"/>
      <c r="D474" s="30"/>
      <c r="E474" s="56" t="s">
        <v>29</v>
      </c>
      <c r="F474" s="56"/>
      <c r="G474" s="56"/>
      <c r="H474" s="56"/>
    </row>
    <row r="475" spans="1:11" x14ac:dyDescent="0.25">
      <c r="A475" s="57"/>
      <c r="B475" s="58"/>
      <c r="C475" s="58"/>
      <c r="D475" s="59"/>
      <c r="E475" s="59" t="s">
        <v>0</v>
      </c>
      <c r="F475" s="59"/>
      <c r="G475" s="59"/>
      <c r="H475" s="59"/>
    </row>
    <row r="476" spans="1:11" x14ac:dyDescent="0.25">
      <c r="A476" s="57"/>
      <c r="B476" s="58"/>
      <c r="C476" s="58"/>
      <c r="D476" s="59"/>
      <c r="E476" s="70" t="s">
        <v>31</v>
      </c>
      <c r="F476" s="59"/>
      <c r="G476" s="59"/>
      <c r="H476" s="59"/>
    </row>
    <row r="477" spans="1:11" ht="15.75" thickBot="1" x14ac:dyDescent="0.3">
      <c r="A477" s="42" t="s">
        <v>52</v>
      </c>
      <c r="B477" s="42"/>
      <c r="C477" s="42"/>
      <c r="D477" s="42"/>
      <c r="E477" s="42"/>
      <c r="F477" s="42"/>
      <c r="G477" s="42"/>
      <c r="H477" s="42"/>
    </row>
    <row r="478" spans="1:11" x14ac:dyDescent="0.25">
      <c r="A478" s="44" t="s">
        <v>2</v>
      </c>
      <c r="B478" s="47" t="s">
        <v>30</v>
      </c>
      <c r="C478" s="48"/>
      <c r="D478" s="48"/>
      <c r="E478" s="48"/>
      <c r="F478" s="48"/>
      <c r="G478" s="49" t="s">
        <v>3</v>
      </c>
      <c r="H478" s="50"/>
    </row>
    <row r="479" spans="1:11" ht="135.75" thickBot="1" x14ac:dyDescent="0.3">
      <c r="A479" s="67"/>
      <c r="B479" s="49" t="s">
        <v>30</v>
      </c>
      <c r="C479" s="49"/>
      <c r="D479" s="14" t="s">
        <v>32</v>
      </c>
      <c r="E479" s="49" t="s">
        <v>4</v>
      </c>
      <c r="F479" s="49"/>
      <c r="G479" s="68"/>
      <c r="H479" s="53"/>
    </row>
    <row r="480" spans="1:11" ht="165.75" thickBot="1" x14ac:dyDescent="0.3">
      <c r="A480" s="46"/>
      <c r="B480" s="13" t="s">
        <v>36</v>
      </c>
      <c r="C480" s="27" t="s">
        <v>5</v>
      </c>
      <c r="D480" s="14" t="s">
        <v>33</v>
      </c>
      <c r="E480" s="27" t="s">
        <v>34</v>
      </c>
      <c r="F480" s="33" t="s">
        <v>35</v>
      </c>
      <c r="G480" s="54"/>
      <c r="H480" s="55"/>
    </row>
    <row r="481" spans="1:9" ht="15.75" thickBot="1" x14ac:dyDescent="0.3">
      <c r="A481" s="26">
        <v>1</v>
      </c>
      <c r="B481" s="33">
        <v>2</v>
      </c>
      <c r="C481" s="10">
        <v>3</v>
      </c>
      <c r="D481" s="33">
        <v>4</v>
      </c>
      <c r="E481" s="10">
        <v>5</v>
      </c>
      <c r="F481" s="33">
        <v>6</v>
      </c>
      <c r="G481" s="40" t="s">
        <v>6</v>
      </c>
      <c r="H481" s="41"/>
    </row>
    <row r="482" spans="1:9" ht="60.75" thickBot="1" x14ac:dyDescent="0.3">
      <c r="A482" s="2" t="s">
        <v>7</v>
      </c>
      <c r="B482" s="6">
        <f>B483</f>
        <v>72182.11</v>
      </c>
      <c r="C482" s="11"/>
      <c r="D482" s="6">
        <f>D483</f>
        <v>21560.89</v>
      </c>
      <c r="E482" s="7" t="s">
        <v>8</v>
      </c>
      <c r="F482" s="7" t="s">
        <v>8</v>
      </c>
      <c r="G482" s="34">
        <f>96927-1176-2074+66</f>
        <v>93743</v>
      </c>
      <c r="H482" s="35"/>
    </row>
    <row r="483" spans="1:9" ht="15.75" thickBot="1" x14ac:dyDescent="0.3">
      <c r="A483" s="3" t="s">
        <v>9</v>
      </c>
      <c r="B483" s="6">
        <f>G483*77%</f>
        <v>72182.11</v>
      </c>
      <c r="C483" s="11"/>
      <c r="D483" s="28">
        <f>G483-B483</f>
        <v>21560.89</v>
      </c>
      <c r="E483" s="7" t="s">
        <v>8</v>
      </c>
      <c r="F483" s="7" t="s">
        <v>8</v>
      </c>
      <c r="G483" s="34">
        <f>G482</f>
        <v>93743</v>
      </c>
      <c r="H483" s="35"/>
    </row>
    <row r="484" spans="1:9" ht="15.75" thickBot="1" x14ac:dyDescent="0.3">
      <c r="A484" s="2" t="s">
        <v>10</v>
      </c>
      <c r="B484" s="6">
        <v>0</v>
      </c>
      <c r="C484" s="11"/>
      <c r="D484" s="6">
        <v>0</v>
      </c>
      <c r="E484" s="7" t="s">
        <v>8</v>
      </c>
      <c r="F484" s="7" t="s">
        <v>8</v>
      </c>
      <c r="G484" s="34">
        <v>0</v>
      </c>
      <c r="H484" s="35"/>
    </row>
    <row r="485" spans="1:9" ht="60.75" thickBot="1" x14ac:dyDescent="0.3">
      <c r="A485" s="2" t="s">
        <v>11</v>
      </c>
      <c r="B485" s="6">
        <f t="shared" ref="B485" si="5">G485*77%</f>
        <v>34720.07</v>
      </c>
      <c r="C485" s="11"/>
      <c r="D485" s="28">
        <f>G485-B485</f>
        <v>10370.93</v>
      </c>
      <c r="E485" s="7" t="s">
        <v>8</v>
      </c>
      <c r="F485" s="7" t="s">
        <v>8</v>
      </c>
      <c r="G485" s="34">
        <f>45834-743</f>
        <v>45091</v>
      </c>
      <c r="H485" s="35"/>
    </row>
    <row r="486" spans="1:9" ht="30.75" thickBot="1" x14ac:dyDescent="0.3">
      <c r="A486" s="2" t="s">
        <v>12</v>
      </c>
      <c r="B486" s="6">
        <f>G486*77%</f>
        <v>3075.38</v>
      </c>
      <c r="C486" s="11"/>
      <c r="D486" s="28">
        <f>G486-B486</f>
        <v>918.61999999999989</v>
      </c>
      <c r="E486" s="7" t="s">
        <v>8</v>
      </c>
      <c r="F486" s="7" t="s">
        <v>8</v>
      </c>
      <c r="G486" s="34">
        <f>1176+2075+743</f>
        <v>3994</v>
      </c>
      <c r="H486" s="35"/>
      <c r="I486" s="9">
        <f>G483+G485+G486</f>
        <v>142828</v>
      </c>
    </row>
    <row r="487" spans="1:9" ht="15.75" thickBot="1" x14ac:dyDescent="0.3">
      <c r="A487" s="2" t="s">
        <v>13</v>
      </c>
      <c r="B487" s="6">
        <f>G487*56%</f>
        <v>7473.7600000000011</v>
      </c>
      <c r="C487" s="6"/>
      <c r="D487" s="28">
        <f>G487-B487</f>
        <v>5872.2399999999989</v>
      </c>
      <c r="E487" s="7" t="s">
        <v>8</v>
      </c>
      <c r="F487" s="7" t="s">
        <v>8</v>
      </c>
      <c r="G487" s="34">
        <v>13346</v>
      </c>
      <c r="H487" s="35"/>
    </row>
    <row r="488" spans="1:9" ht="30.75" thickBot="1" x14ac:dyDescent="0.3">
      <c r="A488" s="2" t="s">
        <v>14</v>
      </c>
      <c r="B488" s="6">
        <f>G488*56%</f>
        <v>3152.8</v>
      </c>
      <c r="C488" s="6"/>
      <c r="D488" s="28">
        <f>G488-B488</f>
        <v>2477.1999999999998</v>
      </c>
      <c r="E488" s="7" t="s">
        <v>8</v>
      </c>
      <c r="F488" s="7" t="s">
        <v>8</v>
      </c>
      <c r="G488" s="34">
        <f>3383+2247</f>
        <v>5630</v>
      </c>
      <c r="H488" s="35"/>
    </row>
    <row r="489" spans="1:9" ht="45.75" thickBot="1" x14ac:dyDescent="0.3">
      <c r="A489" s="2" t="s">
        <v>15</v>
      </c>
      <c r="B489" s="7" t="s">
        <v>8</v>
      </c>
      <c r="C489" s="7" t="s">
        <v>8</v>
      </c>
      <c r="D489" s="6"/>
      <c r="E489" s="7" t="s">
        <v>8</v>
      </c>
      <c r="F489" s="7" t="s">
        <v>8</v>
      </c>
      <c r="G489" s="34"/>
      <c r="H489" s="35"/>
    </row>
    <row r="490" spans="1:9" ht="15.75" thickBot="1" x14ac:dyDescent="0.3">
      <c r="A490" s="2" t="s">
        <v>16</v>
      </c>
      <c r="B490" s="7" t="s">
        <v>8</v>
      </c>
      <c r="C490" s="7" t="s">
        <v>8</v>
      </c>
      <c r="D490" s="11"/>
      <c r="E490" s="6"/>
      <c r="F490" s="6"/>
      <c r="G490" s="34"/>
      <c r="H490" s="35"/>
    </row>
    <row r="491" spans="1:9" ht="15.75" thickBot="1" x14ac:dyDescent="0.3">
      <c r="A491" s="3" t="s">
        <v>17</v>
      </c>
      <c r="B491" s="6">
        <f>G491*56%</f>
        <v>0</v>
      </c>
      <c r="C491" s="7"/>
      <c r="D491" s="6"/>
      <c r="E491" s="6">
        <f>G491-B491</f>
        <v>0</v>
      </c>
      <c r="F491" s="6"/>
      <c r="G491" s="34">
        <v>0</v>
      </c>
      <c r="H491" s="35"/>
    </row>
    <row r="492" spans="1:9" ht="15.75" thickBot="1" x14ac:dyDescent="0.3">
      <c r="A492" s="3" t="s">
        <v>18</v>
      </c>
      <c r="B492" s="6"/>
      <c r="C492" s="7"/>
      <c r="D492" s="7"/>
      <c r="E492" s="6"/>
      <c r="F492" s="6"/>
      <c r="G492" s="34"/>
      <c r="H492" s="35"/>
    </row>
    <row r="493" spans="1:9" ht="45.75" thickBot="1" x14ac:dyDescent="0.3">
      <c r="A493" s="2" t="s">
        <v>19</v>
      </c>
      <c r="B493" s="6"/>
      <c r="C493" s="7"/>
      <c r="D493" s="6"/>
      <c r="E493" s="6"/>
      <c r="F493" s="6"/>
      <c r="G493" s="38"/>
      <c r="H493" s="39"/>
    </row>
    <row r="494" spans="1:9" ht="30.75" thickBot="1" x14ac:dyDescent="0.3">
      <c r="A494" s="2" t="s">
        <v>20</v>
      </c>
      <c r="B494" s="6"/>
      <c r="C494" s="7"/>
      <c r="D494" s="6"/>
      <c r="E494" s="6">
        <v>0</v>
      </c>
      <c r="F494" s="6"/>
      <c r="G494" s="34">
        <v>22128</v>
      </c>
      <c r="H494" s="35"/>
    </row>
    <row r="495" spans="1:9" ht="30.75" thickBot="1" x14ac:dyDescent="0.3">
      <c r="A495" s="2" t="s">
        <v>21</v>
      </c>
      <c r="B495" s="6">
        <f>G495*56%</f>
        <v>12863.760000000002</v>
      </c>
      <c r="C495" s="6"/>
      <c r="D495" s="28">
        <f>G495-B495</f>
        <v>10107.239999999998</v>
      </c>
      <c r="E495" s="7" t="s">
        <v>8</v>
      </c>
      <c r="F495" s="7" t="s">
        <v>8</v>
      </c>
      <c r="G495" s="34">
        <f>22322+80+569</f>
        <v>22971</v>
      </c>
      <c r="H495" s="35"/>
    </row>
    <row r="496" spans="1:9" ht="15.75" thickBot="1" x14ac:dyDescent="0.3">
      <c r="A496" s="3" t="s">
        <v>22</v>
      </c>
      <c r="B496" s="6">
        <f>G496*56%</f>
        <v>16068.640000000001</v>
      </c>
      <c r="C496" s="6"/>
      <c r="D496" s="28">
        <f>G496-B496</f>
        <v>12625.359999999999</v>
      </c>
      <c r="E496" s="7" t="s">
        <v>8</v>
      </c>
      <c r="F496" s="7" t="s">
        <v>8</v>
      </c>
      <c r="G496" s="34">
        <f>9735+10+3629+15320</f>
        <v>28694</v>
      </c>
      <c r="H496" s="35"/>
    </row>
    <row r="497" spans="1:11" ht="15.75" hidden="1" thickBot="1" x14ac:dyDescent="0.3">
      <c r="A497" s="3" t="s">
        <v>23</v>
      </c>
      <c r="B497" s="7" t="s">
        <v>8</v>
      </c>
      <c r="C497" s="11"/>
      <c r="D497" s="7" t="s">
        <v>8</v>
      </c>
      <c r="E497" s="7" t="s">
        <v>8</v>
      </c>
      <c r="F497" s="7" t="s">
        <v>8</v>
      </c>
      <c r="G497" s="38"/>
      <c r="H497" s="39"/>
    </row>
    <row r="498" spans="1:11" ht="15.75" hidden="1" thickBot="1" x14ac:dyDescent="0.3">
      <c r="A498" s="3" t="s">
        <v>24</v>
      </c>
      <c r="B498" s="6"/>
      <c r="C498" s="6"/>
      <c r="D498" s="6"/>
      <c r="E498" s="7" t="s">
        <v>8</v>
      </c>
      <c r="F498" s="7" t="s">
        <v>8</v>
      </c>
      <c r="G498" s="34"/>
      <c r="H498" s="35"/>
    </row>
    <row r="499" spans="1:11" ht="15.75" hidden="1" thickBot="1" x14ac:dyDescent="0.3">
      <c r="A499" s="4" t="s">
        <v>25</v>
      </c>
      <c r="B499" s="6">
        <f>SUM(B483:B498)</f>
        <v>149536.52000000002</v>
      </c>
      <c r="C499" s="6"/>
      <c r="D499" s="6">
        <f>SUM(D483:D498)</f>
        <v>63932.479999999996</v>
      </c>
      <c r="E499" s="6">
        <f>SUM(E483:E498)</f>
        <v>0</v>
      </c>
      <c r="F499" s="6"/>
      <c r="G499" s="34">
        <f>SUM(G483:H498)</f>
        <v>235597</v>
      </c>
      <c r="H499" s="35"/>
    </row>
    <row r="500" spans="1:11" hidden="1" x14ac:dyDescent="0.25">
      <c r="A500" s="36" t="s">
        <v>26</v>
      </c>
      <c r="B500" s="36"/>
      <c r="C500" s="36"/>
      <c r="D500" s="36"/>
      <c r="E500" s="36"/>
      <c r="F500" s="36"/>
      <c r="G500" s="36"/>
      <c r="H500" s="36"/>
    </row>
    <row r="501" spans="1:11" hidden="1" x14ac:dyDescent="0.25">
      <c r="A501" s="37" t="s">
        <v>27</v>
      </c>
      <c r="B501" s="37"/>
      <c r="C501" s="37"/>
      <c r="D501" s="37"/>
      <c r="E501" s="37"/>
      <c r="F501" s="37"/>
      <c r="G501" s="37"/>
      <c r="H501" s="37"/>
    </row>
    <row r="502" spans="1:11" hidden="1" x14ac:dyDescent="0.25">
      <c r="A502" s="37" t="s">
        <v>28</v>
      </c>
      <c r="B502" s="37"/>
      <c r="C502" s="37"/>
      <c r="D502" s="37"/>
      <c r="E502" s="37"/>
      <c r="F502" s="37"/>
      <c r="G502" s="37"/>
      <c r="H502" s="37"/>
      <c r="K502" s="9" t="e">
        <f>#REF!-#REF!</f>
        <v>#REF!</v>
      </c>
    </row>
    <row r="503" spans="1:11" hidden="1" x14ac:dyDescent="0.25">
      <c r="B503" s="9" t="s">
        <v>53</v>
      </c>
      <c r="C503" s="9">
        <v>140012</v>
      </c>
      <c r="K503" s="9" t="e">
        <f>K502-244898</f>
        <v>#REF!</v>
      </c>
    </row>
    <row r="504" spans="1:11" hidden="1" x14ac:dyDescent="0.25">
      <c r="C504" s="9">
        <f>C503-B499</f>
        <v>-9524.5200000000186</v>
      </c>
    </row>
    <row r="505" spans="1:11" hidden="1" x14ac:dyDescent="0.25"/>
    <row r="506" spans="1:11" hidden="1" x14ac:dyDescent="0.25"/>
    <row r="508" spans="1:11" x14ac:dyDescent="0.25">
      <c r="A508" s="29"/>
      <c r="B508" s="30"/>
      <c r="C508" s="30"/>
      <c r="D508" s="30"/>
      <c r="E508" s="56" t="s">
        <v>29</v>
      </c>
      <c r="F508" s="56"/>
      <c r="G508" s="56"/>
      <c r="H508" s="56"/>
    </row>
    <row r="509" spans="1:11" x14ac:dyDescent="0.25">
      <c r="A509" s="57"/>
      <c r="B509" s="58"/>
      <c r="C509" s="58"/>
      <c r="D509" s="59"/>
      <c r="E509" s="59" t="s">
        <v>0</v>
      </c>
      <c r="F509" s="59"/>
      <c r="G509" s="59"/>
      <c r="H509" s="59"/>
    </row>
    <row r="510" spans="1:11" x14ac:dyDescent="0.25">
      <c r="A510" s="57"/>
      <c r="B510" s="58"/>
      <c r="C510" s="58"/>
      <c r="D510" s="59"/>
      <c r="E510" s="70" t="s">
        <v>31</v>
      </c>
      <c r="F510" s="59"/>
      <c r="G510" s="59"/>
      <c r="H510" s="59"/>
    </row>
    <row r="511" spans="1:11" ht="15.75" thickBot="1" x14ac:dyDescent="0.3">
      <c r="A511" s="42" t="s">
        <v>55</v>
      </c>
      <c r="B511" s="42"/>
      <c r="C511" s="42"/>
      <c r="D511" s="42"/>
      <c r="E511" s="42"/>
      <c r="F511" s="42"/>
      <c r="G511" s="42"/>
      <c r="H511" s="42"/>
    </row>
    <row r="512" spans="1:11" x14ac:dyDescent="0.25">
      <c r="A512" s="44" t="s">
        <v>2</v>
      </c>
      <c r="B512" s="47" t="s">
        <v>30</v>
      </c>
      <c r="C512" s="48"/>
      <c r="D512" s="48"/>
      <c r="E512" s="48"/>
      <c r="F512" s="48"/>
      <c r="G512" s="49" t="s">
        <v>3</v>
      </c>
      <c r="H512" s="50"/>
    </row>
    <row r="513" spans="1:9" ht="135.75" thickBot="1" x14ac:dyDescent="0.3">
      <c r="A513" s="67"/>
      <c r="B513" s="49" t="s">
        <v>30</v>
      </c>
      <c r="C513" s="49"/>
      <c r="D513" s="14" t="s">
        <v>32</v>
      </c>
      <c r="E513" s="49" t="s">
        <v>4</v>
      </c>
      <c r="F513" s="49"/>
      <c r="G513" s="68"/>
      <c r="H513" s="53"/>
    </row>
    <row r="514" spans="1:9" ht="165.75" thickBot="1" x14ac:dyDescent="0.3">
      <c r="A514" s="46"/>
      <c r="B514" s="13" t="s">
        <v>36</v>
      </c>
      <c r="C514" s="27" t="s">
        <v>5</v>
      </c>
      <c r="D514" s="14" t="s">
        <v>33</v>
      </c>
      <c r="E514" s="27" t="s">
        <v>34</v>
      </c>
      <c r="F514" s="33" t="s">
        <v>35</v>
      </c>
      <c r="G514" s="54"/>
      <c r="H514" s="55"/>
    </row>
    <row r="515" spans="1:9" ht="15.75" thickBot="1" x14ac:dyDescent="0.3">
      <c r="A515" s="26">
        <v>1</v>
      </c>
      <c r="B515" s="33">
        <v>2</v>
      </c>
      <c r="C515" s="10">
        <v>3</v>
      </c>
      <c r="D515" s="33">
        <v>4</v>
      </c>
      <c r="E515" s="10">
        <v>5</v>
      </c>
      <c r="F515" s="33">
        <v>6</v>
      </c>
      <c r="G515" s="40" t="s">
        <v>6</v>
      </c>
      <c r="H515" s="41"/>
    </row>
    <row r="516" spans="1:9" ht="60.75" thickBot="1" x14ac:dyDescent="0.3">
      <c r="A516" s="2" t="s">
        <v>7</v>
      </c>
      <c r="B516" s="6">
        <f>B517</f>
        <v>79884.42</v>
      </c>
      <c r="C516" s="11"/>
      <c r="D516" s="6">
        <f>D517</f>
        <v>23861.58</v>
      </c>
      <c r="E516" s="7" t="s">
        <v>8</v>
      </c>
      <c r="F516" s="7" t="s">
        <v>8</v>
      </c>
      <c r="G516" s="34">
        <f>106933-1179-2075+67</f>
        <v>103746</v>
      </c>
      <c r="H516" s="35"/>
    </row>
    <row r="517" spans="1:9" ht="15.75" thickBot="1" x14ac:dyDescent="0.3">
      <c r="A517" s="3" t="s">
        <v>9</v>
      </c>
      <c r="B517" s="6">
        <f>G517*77%</f>
        <v>79884.42</v>
      </c>
      <c r="C517" s="11"/>
      <c r="D517" s="28">
        <f>G517-B517</f>
        <v>23861.58</v>
      </c>
      <c r="E517" s="7" t="s">
        <v>8</v>
      </c>
      <c r="F517" s="7" t="s">
        <v>8</v>
      </c>
      <c r="G517" s="34">
        <f>G516</f>
        <v>103746</v>
      </c>
      <c r="H517" s="35"/>
    </row>
    <row r="518" spans="1:9" ht="15.75" thickBot="1" x14ac:dyDescent="0.3">
      <c r="A518" s="2" t="s">
        <v>10</v>
      </c>
      <c r="B518" s="6">
        <v>0</v>
      </c>
      <c r="C518" s="11"/>
      <c r="D518" s="6">
        <v>0</v>
      </c>
      <c r="E518" s="7" t="s">
        <v>8</v>
      </c>
      <c r="F518" s="7" t="s">
        <v>8</v>
      </c>
      <c r="G518" s="34">
        <v>0</v>
      </c>
      <c r="H518" s="35"/>
    </row>
    <row r="519" spans="1:9" ht="60.75" thickBot="1" x14ac:dyDescent="0.3">
      <c r="A519" s="2" t="s">
        <v>11</v>
      </c>
      <c r="B519" s="6">
        <f t="shared" ref="B519" si="6">G519*77%</f>
        <v>40209.4</v>
      </c>
      <c r="C519" s="11"/>
      <c r="D519" s="28">
        <f>G519-B519</f>
        <v>12010.599999999999</v>
      </c>
      <c r="E519" s="7" t="s">
        <v>8</v>
      </c>
      <c r="F519" s="7" t="s">
        <v>8</v>
      </c>
      <c r="G519" s="34">
        <f>52993-773</f>
        <v>52220</v>
      </c>
      <c r="H519" s="35"/>
    </row>
    <row r="520" spans="1:9" ht="30.75" thickBot="1" x14ac:dyDescent="0.3">
      <c r="A520" s="2" t="s">
        <v>12</v>
      </c>
      <c r="B520" s="6">
        <f>G520*77%</f>
        <v>3100.79</v>
      </c>
      <c r="C520" s="11"/>
      <c r="D520" s="28">
        <f>G520-B520</f>
        <v>926.21</v>
      </c>
      <c r="E520" s="7" t="s">
        <v>8</v>
      </c>
      <c r="F520" s="7" t="s">
        <v>8</v>
      </c>
      <c r="G520" s="34">
        <f>1179+2075+773</f>
        <v>4027</v>
      </c>
      <c r="H520" s="35"/>
      <c r="I520" s="9">
        <f>G517+G519+G520</f>
        <v>159993</v>
      </c>
    </row>
    <row r="521" spans="1:9" ht="15.75" thickBot="1" x14ac:dyDescent="0.3">
      <c r="A521" s="2" t="s">
        <v>13</v>
      </c>
      <c r="B521" s="6">
        <f>G521*56%</f>
        <v>8611.1200000000008</v>
      </c>
      <c r="C521" s="6"/>
      <c r="D521" s="28">
        <f>G521-B521</f>
        <v>6765.8799999999992</v>
      </c>
      <c r="E521" s="7" t="s">
        <v>8</v>
      </c>
      <c r="F521" s="7" t="s">
        <v>8</v>
      </c>
      <c r="G521" s="34">
        <v>15377</v>
      </c>
      <c r="H521" s="35"/>
    </row>
    <row r="522" spans="1:9" ht="30.75" thickBot="1" x14ac:dyDescent="0.3">
      <c r="A522" s="2" t="s">
        <v>14</v>
      </c>
      <c r="B522" s="6">
        <f>G522*56%</f>
        <v>3197.6000000000004</v>
      </c>
      <c r="C522" s="6"/>
      <c r="D522" s="28">
        <f>G522-B522</f>
        <v>2512.3999999999996</v>
      </c>
      <c r="E522" s="7" t="s">
        <v>8</v>
      </c>
      <c r="F522" s="7" t="s">
        <v>8</v>
      </c>
      <c r="G522" s="34">
        <f>3383+2327</f>
        <v>5710</v>
      </c>
      <c r="H522" s="35"/>
    </row>
    <row r="523" spans="1:9" ht="45.75" thickBot="1" x14ac:dyDescent="0.3">
      <c r="A523" s="2" t="s">
        <v>15</v>
      </c>
      <c r="B523" s="7" t="s">
        <v>8</v>
      </c>
      <c r="C523" s="7" t="s">
        <v>8</v>
      </c>
      <c r="D523" s="6"/>
      <c r="E523" s="7" t="s">
        <v>8</v>
      </c>
      <c r="F523" s="7" t="s">
        <v>8</v>
      </c>
      <c r="G523" s="34"/>
      <c r="H523" s="35"/>
    </row>
    <row r="524" spans="1:9" ht="15.75" thickBot="1" x14ac:dyDescent="0.3">
      <c r="A524" s="2" t="s">
        <v>16</v>
      </c>
      <c r="B524" s="7" t="s">
        <v>8</v>
      </c>
      <c r="C524" s="7" t="s">
        <v>8</v>
      </c>
      <c r="D524" s="11"/>
      <c r="E524" s="6"/>
      <c r="F524" s="6"/>
      <c r="G524" s="34"/>
      <c r="H524" s="35"/>
    </row>
    <row r="525" spans="1:9" ht="15.75" thickBot="1" x14ac:dyDescent="0.3">
      <c r="A525" s="3" t="s">
        <v>17</v>
      </c>
      <c r="B525" s="6">
        <f>G525*56%</f>
        <v>0</v>
      </c>
      <c r="C525" s="7"/>
      <c r="D525" s="6"/>
      <c r="E525" s="6">
        <f>G525-B525</f>
        <v>0</v>
      </c>
      <c r="F525" s="6"/>
      <c r="G525" s="34">
        <v>0</v>
      </c>
      <c r="H525" s="35"/>
    </row>
    <row r="526" spans="1:9" ht="15.75" thickBot="1" x14ac:dyDescent="0.3">
      <c r="A526" s="3" t="s">
        <v>18</v>
      </c>
      <c r="B526" s="6"/>
      <c r="C526" s="7"/>
      <c r="D526" s="7"/>
      <c r="E526" s="6"/>
      <c r="F526" s="6"/>
      <c r="G526" s="34"/>
      <c r="H526" s="35"/>
    </row>
    <row r="527" spans="1:9" ht="45.75" thickBot="1" x14ac:dyDescent="0.3">
      <c r="A527" s="2" t="s">
        <v>19</v>
      </c>
      <c r="B527" s="6"/>
      <c r="C527" s="7"/>
      <c r="D527" s="6"/>
      <c r="E527" s="6"/>
      <c r="F527" s="6"/>
      <c r="G527" s="38"/>
      <c r="H527" s="39"/>
    </row>
    <row r="528" spans="1:9" ht="30.75" thickBot="1" x14ac:dyDescent="0.3">
      <c r="A528" s="2" t="s">
        <v>20</v>
      </c>
      <c r="B528" s="6"/>
      <c r="C528" s="7"/>
      <c r="D528" s="6"/>
      <c r="E528" s="6">
        <v>0</v>
      </c>
      <c r="F528" s="6"/>
      <c r="G528" s="34">
        <v>25303</v>
      </c>
      <c r="H528" s="35"/>
    </row>
    <row r="529" spans="1:11" ht="30.75" hidden="1" thickBot="1" x14ac:dyDescent="0.3">
      <c r="A529" s="2" t="s">
        <v>21</v>
      </c>
      <c r="B529" s="6">
        <f>G529*56%</f>
        <v>14236.320000000002</v>
      </c>
      <c r="C529" s="6"/>
      <c r="D529" s="28">
        <f>G529-B529</f>
        <v>11185.679999999998</v>
      </c>
      <c r="E529" s="7" t="s">
        <v>8</v>
      </c>
      <c r="F529" s="7" t="s">
        <v>8</v>
      </c>
      <c r="G529" s="34">
        <f>24612+810</f>
        <v>25422</v>
      </c>
      <c r="H529" s="35"/>
    </row>
    <row r="530" spans="1:11" ht="15.75" hidden="1" thickBot="1" x14ac:dyDescent="0.3">
      <c r="A530" s="3" t="s">
        <v>22</v>
      </c>
      <c r="B530" s="6">
        <f>G530*56%</f>
        <v>17025.68</v>
      </c>
      <c r="C530" s="6"/>
      <c r="D530" s="28">
        <f>G530-B530</f>
        <v>13377.32</v>
      </c>
      <c r="E530" s="7" t="s">
        <v>8</v>
      </c>
      <c r="F530" s="7" t="s">
        <v>8</v>
      </c>
      <c r="G530" s="34">
        <f>15320+11424+10+3649</f>
        <v>30403</v>
      </c>
      <c r="H530" s="35"/>
    </row>
    <row r="531" spans="1:11" ht="15.75" hidden="1" thickBot="1" x14ac:dyDescent="0.3">
      <c r="A531" s="3" t="s">
        <v>23</v>
      </c>
      <c r="B531" s="7" t="s">
        <v>8</v>
      </c>
      <c r="C531" s="11"/>
      <c r="D531" s="7" t="s">
        <v>8</v>
      </c>
      <c r="E531" s="7" t="s">
        <v>8</v>
      </c>
      <c r="F531" s="7" t="s">
        <v>8</v>
      </c>
      <c r="G531" s="38"/>
      <c r="H531" s="39"/>
    </row>
    <row r="532" spans="1:11" ht="15.75" hidden="1" thickBot="1" x14ac:dyDescent="0.3">
      <c r="A532" s="3" t="s">
        <v>24</v>
      </c>
      <c r="B532" s="6"/>
      <c r="C532" s="6"/>
      <c r="D532" s="6"/>
      <c r="E532" s="7" t="s">
        <v>8</v>
      </c>
      <c r="F532" s="7" t="s">
        <v>8</v>
      </c>
      <c r="G532" s="34"/>
      <c r="H532" s="35"/>
    </row>
    <row r="533" spans="1:11" ht="15.75" hidden="1" thickBot="1" x14ac:dyDescent="0.3">
      <c r="A533" s="4" t="s">
        <v>25</v>
      </c>
      <c r="B533" s="6">
        <f>SUM(B517:B532)</f>
        <v>166265.33000000002</v>
      </c>
      <c r="C533" s="6"/>
      <c r="D533" s="6">
        <f>SUM(D517:D532)</f>
        <v>70639.67</v>
      </c>
      <c r="E533" s="6">
        <f>SUM(E517:E532)</f>
        <v>0</v>
      </c>
      <c r="F533" s="6"/>
      <c r="G533" s="34">
        <f>SUM(G517:H532)</f>
        <v>262208</v>
      </c>
      <c r="H533" s="35"/>
    </row>
    <row r="534" spans="1:11" hidden="1" x14ac:dyDescent="0.25">
      <c r="A534" s="36" t="s">
        <v>26</v>
      </c>
      <c r="B534" s="36"/>
      <c r="C534" s="36"/>
      <c r="D534" s="36"/>
      <c r="E534" s="36"/>
      <c r="F534" s="36"/>
      <c r="G534" s="36"/>
      <c r="H534" s="36"/>
    </row>
    <row r="535" spans="1:11" hidden="1" x14ac:dyDescent="0.25">
      <c r="A535" s="37" t="s">
        <v>27</v>
      </c>
      <c r="B535" s="37"/>
      <c r="C535" s="37"/>
      <c r="D535" s="37"/>
      <c r="E535" s="37"/>
      <c r="F535" s="37"/>
      <c r="G535" s="37"/>
      <c r="H535" s="37"/>
    </row>
    <row r="536" spans="1:11" hidden="1" x14ac:dyDescent="0.25">
      <c r="A536" s="37" t="s">
        <v>28</v>
      </c>
      <c r="B536" s="37"/>
      <c r="C536" s="37"/>
      <c r="D536" s="37"/>
      <c r="E536" s="37"/>
      <c r="F536" s="37"/>
      <c r="G536" s="37"/>
      <c r="H536" s="37"/>
      <c r="K536" s="9" t="e">
        <f>#REF!-#REF!</f>
        <v>#REF!</v>
      </c>
    </row>
    <row r="537" spans="1:11" hidden="1" x14ac:dyDescent="0.25">
      <c r="B537" s="9" t="s">
        <v>56</v>
      </c>
      <c r="C537" s="9">
        <v>157760</v>
      </c>
      <c r="K537" s="9" t="e">
        <f>K536-244898</f>
        <v>#REF!</v>
      </c>
    </row>
    <row r="538" spans="1:11" hidden="1" x14ac:dyDescent="0.25">
      <c r="C538" s="9">
        <f>C537-B533</f>
        <v>-8505.3300000000163</v>
      </c>
    </row>
    <row r="550" spans="1:8" x14ac:dyDescent="0.25">
      <c r="A550" s="29"/>
      <c r="B550" s="30"/>
      <c r="C550" s="30"/>
      <c r="D550" s="30"/>
      <c r="E550" s="56" t="s">
        <v>29</v>
      </c>
      <c r="F550" s="56"/>
      <c r="G550" s="56"/>
      <c r="H550" s="56"/>
    </row>
    <row r="551" spans="1:8" x14ac:dyDescent="0.25">
      <c r="A551" s="57"/>
      <c r="B551" s="58"/>
      <c r="C551" s="58"/>
      <c r="D551" s="59"/>
      <c r="E551" s="59" t="s">
        <v>0</v>
      </c>
      <c r="F551" s="59"/>
      <c r="G551" s="59"/>
      <c r="H551" s="59"/>
    </row>
    <row r="552" spans="1:8" x14ac:dyDescent="0.25">
      <c r="A552" s="57"/>
      <c r="B552" s="58"/>
      <c r="C552" s="58"/>
      <c r="D552" s="59"/>
      <c r="E552" s="69" t="s">
        <v>31</v>
      </c>
      <c r="F552" s="59"/>
      <c r="G552" s="59"/>
      <c r="H552" s="59"/>
    </row>
    <row r="553" spans="1:8" ht="15.75" thickBot="1" x14ac:dyDescent="0.3">
      <c r="A553" s="42" t="s">
        <v>38</v>
      </c>
      <c r="B553" s="42"/>
      <c r="C553" s="42"/>
      <c r="D553" s="42"/>
      <c r="E553" s="42"/>
      <c r="F553" s="42"/>
      <c r="G553" s="43"/>
      <c r="H553" s="43"/>
    </row>
    <row r="554" spans="1:8" x14ac:dyDescent="0.25">
      <c r="A554" s="44" t="s">
        <v>2</v>
      </c>
      <c r="B554" s="47" t="s">
        <v>30</v>
      </c>
      <c r="C554" s="48"/>
      <c r="D554" s="48"/>
      <c r="E554" s="48"/>
      <c r="F554" s="48"/>
      <c r="G554" s="49" t="s">
        <v>3</v>
      </c>
      <c r="H554" s="50"/>
    </row>
    <row r="555" spans="1:8" ht="135.75" thickBot="1" x14ac:dyDescent="0.3">
      <c r="A555" s="67"/>
      <c r="B555" s="49" t="s">
        <v>30</v>
      </c>
      <c r="C555" s="49"/>
      <c r="D555" s="14" t="s">
        <v>32</v>
      </c>
      <c r="E555" s="49" t="s">
        <v>4</v>
      </c>
      <c r="F555" s="49"/>
      <c r="G555" s="68"/>
      <c r="H555" s="53"/>
    </row>
    <row r="556" spans="1:8" ht="165.75" thickBot="1" x14ac:dyDescent="0.3">
      <c r="A556" s="46"/>
      <c r="B556" s="13" t="s">
        <v>36</v>
      </c>
      <c r="C556" s="27" t="s">
        <v>5</v>
      </c>
      <c r="D556" s="14" t="s">
        <v>33</v>
      </c>
      <c r="E556" s="27" t="s">
        <v>34</v>
      </c>
      <c r="F556" s="33" t="s">
        <v>35</v>
      </c>
      <c r="G556" s="54"/>
      <c r="H556" s="55"/>
    </row>
    <row r="557" spans="1:8" ht="15.75" thickBot="1" x14ac:dyDescent="0.3">
      <c r="A557" s="26">
        <v>1</v>
      </c>
      <c r="B557" s="33">
        <v>2</v>
      </c>
      <c r="C557" s="15">
        <v>3</v>
      </c>
      <c r="D557" s="27">
        <v>4</v>
      </c>
      <c r="E557" s="10">
        <v>5</v>
      </c>
      <c r="F557" s="33">
        <v>6</v>
      </c>
      <c r="G557" s="40" t="s">
        <v>37</v>
      </c>
      <c r="H557" s="41"/>
    </row>
    <row r="558" spans="1:8" ht="60.75" thickBot="1" x14ac:dyDescent="0.3">
      <c r="A558" s="2" t="s">
        <v>7</v>
      </c>
      <c r="B558" s="6">
        <f>B559</f>
        <v>56298.479999999996</v>
      </c>
      <c r="C558" s="11"/>
      <c r="D558" s="6">
        <f>D559</f>
        <v>60924.520000000004</v>
      </c>
      <c r="E558" s="7" t="s">
        <v>8</v>
      </c>
      <c r="F558" s="7" t="s">
        <v>8</v>
      </c>
      <c r="G558" s="34">
        <f>120510-1278-2075+66</f>
        <v>117223</v>
      </c>
      <c r="H558" s="35"/>
    </row>
    <row r="559" spans="1:8" ht="15.75" thickBot="1" x14ac:dyDescent="0.3">
      <c r="A559" s="3" t="s">
        <v>9</v>
      </c>
      <c r="B559" s="6">
        <f>G559*76%-32791</f>
        <v>56298.479999999996</v>
      </c>
      <c r="C559" s="11"/>
      <c r="D559" s="28">
        <f>G559-B559</f>
        <v>60924.520000000004</v>
      </c>
      <c r="E559" s="7" t="s">
        <v>8</v>
      </c>
      <c r="F559" s="7" t="s">
        <v>8</v>
      </c>
      <c r="G559" s="34">
        <f>G558</f>
        <v>117223</v>
      </c>
      <c r="H559" s="35"/>
    </row>
    <row r="560" spans="1:8" ht="15.75" thickBot="1" x14ac:dyDescent="0.3">
      <c r="A560" s="2" t="s">
        <v>10</v>
      </c>
      <c r="B560" s="6">
        <v>0</v>
      </c>
      <c r="C560" s="11"/>
      <c r="D560" s="6">
        <v>0</v>
      </c>
      <c r="E560" s="7" t="s">
        <v>8</v>
      </c>
      <c r="F560" s="7" t="s">
        <v>8</v>
      </c>
      <c r="G560" s="34">
        <v>0</v>
      </c>
      <c r="H560" s="35"/>
    </row>
    <row r="561" spans="1:11" ht="60.75" hidden="1" thickBot="1" x14ac:dyDescent="0.3">
      <c r="A561" s="2" t="s">
        <v>11</v>
      </c>
      <c r="B561" s="6">
        <f>G561*76%</f>
        <v>45329.440000000002</v>
      </c>
      <c r="C561" s="11"/>
      <c r="D561" s="28">
        <f>G561-B561</f>
        <v>14314.559999999998</v>
      </c>
      <c r="E561" s="7" t="s">
        <v>8</v>
      </c>
      <c r="F561" s="7" t="s">
        <v>8</v>
      </c>
      <c r="G561" s="34">
        <f>60472-828</f>
        <v>59644</v>
      </c>
      <c r="H561" s="35"/>
    </row>
    <row r="562" spans="1:11" ht="30.75" hidden="1" thickBot="1" x14ac:dyDescent="0.3">
      <c r="A562" s="2" t="s">
        <v>12</v>
      </c>
      <c r="B562" s="6">
        <f>G562*76%</f>
        <v>3177.56</v>
      </c>
      <c r="C562" s="11"/>
      <c r="D562" s="28">
        <f>G562-B562</f>
        <v>1003.44</v>
      </c>
      <c r="E562" s="7" t="s">
        <v>8</v>
      </c>
      <c r="F562" s="7" t="s">
        <v>8</v>
      </c>
      <c r="G562" s="34">
        <f>1278+2075+828</f>
        <v>4181</v>
      </c>
      <c r="H562" s="35"/>
    </row>
    <row r="563" spans="1:11" ht="15.75" hidden="1" thickBot="1" x14ac:dyDescent="0.3">
      <c r="A563" s="2" t="s">
        <v>13</v>
      </c>
      <c r="B563" s="6">
        <f>G563*56%</f>
        <v>8611.1200000000008</v>
      </c>
      <c r="C563" s="6"/>
      <c r="D563" s="28">
        <f>G563-B563</f>
        <v>6765.8799999999992</v>
      </c>
      <c r="E563" s="7" t="s">
        <v>8</v>
      </c>
      <c r="F563" s="7" t="s">
        <v>8</v>
      </c>
      <c r="G563" s="34">
        <v>15377</v>
      </c>
      <c r="H563" s="35"/>
    </row>
    <row r="564" spans="1:11" ht="30.75" hidden="1" thickBot="1" x14ac:dyDescent="0.3">
      <c r="A564" s="2" t="s">
        <v>14</v>
      </c>
      <c r="B564" s="6">
        <f>G564*56%</f>
        <v>4506.88</v>
      </c>
      <c r="C564" s="6"/>
      <c r="D564" s="28">
        <f>G564-B564</f>
        <v>3541.12</v>
      </c>
      <c r="E564" s="7" t="s">
        <v>8</v>
      </c>
      <c r="F564" s="7" t="s">
        <v>8</v>
      </c>
      <c r="G564" s="34">
        <f>4824+3224</f>
        <v>8048</v>
      </c>
      <c r="H564" s="35"/>
    </row>
    <row r="565" spans="1:11" ht="45.75" hidden="1" thickBot="1" x14ac:dyDescent="0.3">
      <c r="A565" s="2" t="s">
        <v>15</v>
      </c>
      <c r="B565" s="7" t="s">
        <v>8</v>
      </c>
      <c r="C565" s="7" t="s">
        <v>8</v>
      </c>
      <c r="D565" s="6"/>
      <c r="E565" s="7" t="s">
        <v>8</v>
      </c>
      <c r="F565" s="7" t="s">
        <v>8</v>
      </c>
      <c r="G565" s="34"/>
      <c r="H565" s="35"/>
    </row>
    <row r="566" spans="1:11" ht="15.75" hidden="1" thickBot="1" x14ac:dyDescent="0.3">
      <c r="A566" s="2" t="s">
        <v>16</v>
      </c>
      <c r="B566" s="7" t="s">
        <v>8</v>
      </c>
      <c r="C566" s="7" t="s">
        <v>8</v>
      </c>
      <c r="D566" s="11"/>
      <c r="E566" s="6">
        <v>0</v>
      </c>
      <c r="F566" s="6"/>
      <c r="G566" s="34">
        <v>0</v>
      </c>
      <c r="H566" s="35"/>
    </row>
    <row r="567" spans="1:11" ht="15.75" hidden="1" thickBot="1" x14ac:dyDescent="0.3">
      <c r="A567" s="3" t="s">
        <v>17</v>
      </c>
      <c r="B567" s="6">
        <f>G567*56%</f>
        <v>0</v>
      </c>
      <c r="C567" s="7"/>
      <c r="D567" s="6"/>
      <c r="E567" s="6">
        <f>G567-B567</f>
        <v>0</v>
      </c>
      <c r="F567" s="6"/>
      <c r="G567" s="34">
        <v>0</v>
      </c>
      <c r="H567" s="35"/>
      <c r="K567" s="9">
        <f>G671+G674+G675</f>
        <v>251785</v>
      </c>
    </row>
    <row r="568" spans="1:11" ht="15.75" hidden="1" thickBot="1" x14ac:dyDescent="0.3">
      <c r="A568" s="3" t="s">
        <v>18</v>
      </c>
      <c r="B568" s="6"/>
      <c r="C568" s="7"/>
      <c r="D568" s="7"/>
      <c r="E568" s="6"/>
      <c r="F568" s="6"/>
      <c r="G568" s="34"/>
      <c r="H568" s="35"/>
      <c r="K568" s="9">
        <f>251786-K567</f>
        <v>1</v>
      </c>
    </row>
    <row r="569" spans="1:11" ht="45.75" hidden="1" thickBot="1" x14ac:dyDescent="0.3">
      <c r="A569" s="2" t="s">
        <v>19</v>
      </c>
      <c r="B569" s="6"/>
      <c r="C569" s="7"/>
      <c r="D569" s="6"/>
      <c r="E569" s="6"/>
      <c r="F569" s="6"/>
      <c r="G569" s="38"/>
      <c r="H569" s="39"/>
    </row>
    <row r="570" spans="1:11" ht="30.75" hidden="1" thickBot="1" x14ac:dyDescent="0.3">
      <c r="A570" s="2" t="s">
        <v>20</v>
      </c>
      <c r="B570" s="6">
        <f>G570*56%</f>
        <v>15947.680000000002</v>
      </c>
      <c r="C570" s="7"/>
      <c r="D570" s="6"/>
      <c r="E570" s="6">
        <f>G570-B570</f>
        <v>12530.319999999998</v>
      </c>
      <c r="F570" s="6"/>
      <c r="G570" s="34">
        <v>28478</v>
      </c>
      <c r="H570" s="35"/>
    </row>
    <row r="571" spans="1:11" ht="30.75" thickBot="1" x14ac:dyDescent="0.3">
      <c r="A571" s="2" t="s">
        <v>21</v>
      </c>
      <c r="B571" s="6">
        <f>G571*56%</f>
        <v>14820.400000000001</v>
      </c>
      <c r="C571" s="6"/>
      <c r="D571" s="28">
        <f>G571-B571</f>
        <v>11644.599999999999</v>
      </c>
      <c r="E571" s="7" t="s">
        <v>8</v>
      </c>
      <c r="F571" s="7" t="s">
        <v>8</v>
      </c>
      <c r="G571" s="34">
        <f>25189+241+1035</f>
        <v>26465</v>
      </c>
      <c r="H571" s="35"/>
    </row>
    <row r="572" spans="1:11" ht="15.75" thickBot="1" x14ac:dyDescent="0.3">
      <c r="A572" s="3" t="s">
        <v>22</v>
      </c>
      <c r="B572" s="6">
        <f>G572*56%</f>
        <v>18046.560000000001</v>
      </c>
      <c r="C572" s="6"/>
      <c r="D572" s="28">
        <f>G572-B572</f>
        <v>14179.439999999999</v>
      </c>
      <c r="E572" s="7" t="s">
        <v>8</v>
      </c>
      <c r="F572" s="7" t="s">
        <v>8</v>
      </c>
      <c r="G572" s="34">
        <f>128+13098+10+3670+15320</f>
        <v>32226</v>
      </c>
      <c r="H572" s="35"/>
    </row>
    <row r="573" spans="1:11" ht="15.75" thickBot="1" x14ac:dyDescent="0.3">
      <c r="A573" s="3" t="s">
        <v>23</v>
      </c>
      <c r="B573" s="7" t="s">
        <v>8</v>
      </c>
      <c r="C573" s="11"/>
      <c r="D573" s="7" t="s">
        <v>8</v>
      </c>
      <c r="E573" s="7" t="s">
        <v>8</v>
      </c>
      <c r="F573" s="7" t="s">
        <v>8</v>
      </c>
      <c r="G573" s="38"/>
      <c r="H573" s="39"/>
    </row>
    <row r="574" spans="1:11" ht="15.75" thickBot="1" x14ac:dyDescent="0.3">
      <c r="A574" s="3" t="s">
        <v>24</v>
      </c>
      <c r="B574" s="6">
        <f>G574*56%</f>
        <v>0</v>
      </c>
      <c r="C574" s="6"/>
      <c r="D574" s="6"/>
      <c r="E574" s="7" t="s">
        <v>8</v>
      </c>
      <c r="F574" s="7" t="s">
        <v>8</v>
      </c>
      <c r="G574" s="34"/>
      <c r="H574" s="35"/>
    </row>
    <row r="575" spans="1:11" ht="15.75" thickBot="1" x14ac:dyDescent="0.3">
      <c r="A575" s="4" t="s">
        <v>25</v>
      </c>
      <c r="B575" s="6">
        <f>SUM(B559:B574)</f>
        <v>166738.12</v>
      </c>
      <c r="C575" s="6"/>
      <c r="D575" s="6">
        <f>SUM(D559:D574)</f>
        <v>112373.56</v>
      </c>
      <c r="E575" s="6">
        <f>SUM(E559:E574)</f>
        <v>12530.319999999998</v>
      </c>
      <c r="F575" s="6"/>
      <c r="G575" s="34">
        <f>SUM(G559:H574)</f>
        <v>291642</v>
      </c>
      <c r="H575" s="35"/>
      <c r="J575" s="9">
        <f>291642-G575</f>
        <v>0</v>
      </c>
    </row>
    <row r="576" spans="1:11" x14ac:dyDescent="0.25">
      <c r="A576" s="36" t="s">
        <v>26</v>
      </c>
      <c r="B576" s="36"/>
      <c r="C576" s="36"/>
      <c r="D576" s="36"/>
      <c r="E576" s="36"/>
      <c r="F576" s="36"/>
      <c r="G576" s="36"/>
      <c r="H576" s="36"/>
    </row>
    <row r="577" spans="1:8" x14ac:dyDescent="0.25">
      <c r="A577" s="37" t="s">
        <v>27</v>
      </c>
      <c r="B577" s="37"/>
      <c r="C577" s="37"/>
      <c r="D577" s="37"/>
      <c r="E577" s="37"/>
      <c r="F577" s="37"/>
      <c r="G577" s="37"/>
      <c r="H577" s="37"/>
    </row>
    <row r="578" spans="1:8" x14ac:dyDescent="0.25">
      <c r="A578" s="37" t="s">
        <v>28</v>
      </c>
      <c r="B578" s="37"/>
      <c r="C578" s="37"/>
      <c r="D578" s="37"/>
      <c r="E578" s="37"/>
      <c r="F578" s="37"/>
      <c r="G578" s="37"/>
      <c r="H578" s="37"/>
    </row>
    <row r="579" spans="1:8" x14ac:dyDescent="0.25">
      <c r="A579" s="1"/>
      <c r="B579" s="8"/>
      <c r="C579" s="8"/>
      <c r="D579" s="8"/>
      <c r="E579" s="8"/>
      <c r="F579" s="8"/>
      <c r="G579" s="8"/>
      <c r="H579" s="8"/>
    </row>
    <row r="580" spans="1:8" ht="15.75" x14ac:dyDescent="0.25">
      <c r="A580" s="5"/>
      <c r="B580" s="12" t="s">
        <v>57</v>
      </c>
      <c r="C580" s="12">
        <v>173415</v>
      </c>
    </row>
    <row r="581" spans="1:8" x14ac:dyDescent="0.25">
      <c r="C581" s="9">
        <f>C580-B575</f>
        <v>6676.8800000000047</v>
      </c>
    </row>
    <row r="582" spans="1:8" x14ac:dyDescent="0.25">
      <c r="C582"/>
      <c r="D582"/>
      <c r="E582"/>
      <c r="F582"/>
      <c r="G582"/>
      <c r="H582"/>
    </row>
    <row r="583" spans="1:8" x14ac:dyDescent="0.25">
      <c r="C583"/>
      <c r="D583"/>
      <c r="E583"/>
      <c r="F583"/>
      <c r="G583"/>
      <c r="H583"/>
    </row>
    <row r="584" spans="1:8" x14ac:dyDescent="0.25">
      <c r="C584"/>
      <c r="D584"/>
      <c r="E584"/>
      <c r="F584"/>
      <c r="G584"/>
      <c r="H584"/>
    </row>
    <row r="585" spans="1:8" x14ac:dyDescent="0.25">
      <c r="A585" s="29"/>
      <c r="B585" s="30"/>
      <c r="C585" s="30"/>
      <c r="D585" s="30"/>
      <c r="E585" s="56" t="s">
        <v>29</v>
      </c>
      <c r="F585" s="56"/>
      <c r="G585" s="56"/>
      <c r="H585" s="56"/>
    </row>
    <row r="586" spans="1:8" x14ac:dyDescent="0.25">
      <c r="A586" s="57"/>
      <c r="B586" s="58"/>
      <c r="C586" s="58"/>
      <c r="D586" s="59"/>
      <c r="E586" s="59" t="s">
        <v>0</v>
      </c>
      <c r="F586" s="59"/>
      <c r="G586" s="59"/>
      <c r="H586" s="59"/>
    </row>
    <row r="587" spans="1:8" x14ac:dyDescent="0.25">
      <c r="A587" s="57"/>
      <c r="B587" s="58"/>
      <c r="C587" s="58"/>
      <c r="D587" s="59"/>
      <c r="E587" s="69" t="s">
        <v>31</v>
      </c>
      <c r="F587" s="59"/>
      <c r="G587" s="59"/>
      <c r="H587" s="59"/>
    </row>
    <row r="588" spans="1:8" ht="15.75" thickBot="1" x14ac:dyDescent="0.3">
      <c r="A588" s="42" t="s">
        <v>47</v>
      </c>
      <c r="B588" s="42"/>
      <c r="C588" s="42"/>
      <c r="D588" s="42"/>
      <c r="E588" s="42"/>
      <c r="F588" s="42"/>
      <c r="G588" s="43"/>
      <c r="H588" s="43"/>
    </row>
    <row r="589" spans="1:8" x14ac:dyDescent="0.25">
      <c r="A589" s="44" t="s">
        <v>2</v>
      </c>
      <c r="B589" s="47" t="s">
        <v>30</v>
      </c>
      <c r="C589" s="48"/>
      <c r="D589" s="48"/>
      <c r="E589" s="48"/>
      <c r="F589" s="48"/>
      <c r="G589" s="49" t="s">
        <v>3</v>
      </c>
      <c r="H589" s="50"/>
    </row>
    <row r="590" spans="1:8" ht="135.75" thickBot="1" x14ac:dyDescent="0.3">
      <c r="A590" s="67"/>
      <c r="B590" s="49" t="s">
        <v>30</v>
      </c>
      <c r="C590" s="49"/>
      <c r="D590" s="14" t="s">
        <v>32</v>
      </c>
      <c r="E590" s="49" t="s">
        <v>4</v>
      </c>
      <c r="F590" s="49"/>
      <c r="G590" s="68"/>
      <c r="H590" s="53"/>
    </row>
    <row r="591" spans="1:8" ht="165.75" thickBot="1" x14ac:dyDescent="0.3">
      <c r="A591" s="46"/>
      <c r="B591" s="13" t="s">
        <v>36</v>
      </c>
      <c r="C591" s="27" t="s">
        <v>5</v>
      </c>
      <c r="D591" s="14" t="s">
        <v>33</v>
      </c>
      <c r="E591" s="27" t="s">
        <v>34</v>
      </c>
      <c r="F591" s="33" t="s">
        <v>35</v>
      </c>
      <c r="G591" s="54"/>
      <c r="H591" s="55"/>
    </row>
    <row r="592" spans="1:8" ht="15.75" thickBot="1" x14ac:dyDescent="0.3">
      <c r="A592" s="26">
        <v>1</v>
      </c>
      <c r="B592" s="33">
        <v>2</v>
      </c>
      <c r="C592" s="15">
        <v>3</v>
      </c>
      <c r="D592" s="27">
        <v>4</v>
      </c>
      <c r="E592" s="10">
        <v>5</v>
      </c>
      <c r="F592" s="33">
        <v>6</v>
      </c>
      <c r="G592" s="40" t="s">
        <v>37</v>
      </c>
      <c r="H592" s="41"/>
    </row>
    <row r="593" spans="1:11" ht="60.75" hidden="1" thickBot="1" x14ac:dyDescent="0.3">
      <c r="A593" s="2" t="s">
        <v>7</v>
      </c>
      <c r="B593" s="6">
        <f>B594</f>
        <v>68760.2</v>
      </c>
      <c r="C593" s="11"/>
      <c r="D593" s="6">
        <f>D594</f>
        <v>64859.8</v>
      </c>
      <c r="E593" s="7" t="s">
        <v>8</v>
      </c>
      <c r="F593" s="7" t="s">
        <v>8</v>
      </c>
      <c r="G593" s="34">
        <f>137021-1392-2075+66</f>
        <v>133620</v>
      </c>
      <c r="H593" s="35"/>
    </row>
    <row r="594" spans="1:11" ht="15.75" hidden="1" thickBot="1" x14ac:dyDescent="0.3">
      <c r="A594" s="3" t="s">
        <v>9</v>
      </c>
      <c r="B594" s="6">
        <f>G594*76%-32791</f>
        <v>68760.2</v>
      </c>
      <c r="C594" s="11"/>
      <c r="D594" s="28">
        <f>G594-B594</f>
        <v>64859.8</v>
      </c>
      <c r="E594" s="7" t="s">
        <v>8</v>
      </c>
      <c r="F594" s="7" t="s">
        <v>8</v>
      </c>
      <c r="G594" s="34">
        <f>G593</f>
        <v>133620</v>
      </c>
      <c r="H594" s="35"/>
    </row>
    <row r="595" spans="1:11" ht="15.75" hidden="1" thickBot="1" x14ac:dyDescent="0.3">
      <c r="A595" s="2" t="s">
        <v>10</v>
      </c>
      <c r="B595" s="6">
        <v>0</v>
      </c>
      <c r="C595" s="11"/>
      <c r="D595" s="6">
        <v>0</v>
      </c>
      <c r="E595" s="7" t="s">
        <v>8</v>
      </c>
      <c r="F595" s="7" t="s">
        <v>8</v>
      </c>
      <c r="G595" s="34">
        <v>0</v>
      </c>
      <c r="H595" s="35"/>
    </row>
    <row r="596" spans="1:11" ht="60.75" hidden="1" thickBot="1" x14ac:dyDescent="0.3">
      <c r="A596" s="2" t="s">
        <v>11</v>
      </c>
      <c r="B596" s="6">
        <f>G596*76%</f>
        <v>50893.4</v>
      </c>
      <c r="C596" s="11"/>
      <c r="D596" s="28">
        <f>G596-B596</f>
        <v>16071.599999999999</v>
      </c>
      <c r="E596" s="7" t="s">
        <v>8</v>
      </c>
      <c r="F596" s="7" t="s">
        <v>8</v>
      </c>
      <c r="G596" s="34">
        <f>67848-883</f>
        <v>66965</v>
      </c>
      <c r="H596" s="35"/>
    </row>
    <row r="597" spans="1:11" ht="30.75" hidden="1" thickBot="1" x14ac:dyDescent="0.3">
      <c r="A597" s="2" t="s">
        <v>12</v>
      </c>
      <c r="B597" s="6">
        <f>G597*76%</f>
        <v>3306</v>
      </c>
      <c r="C597" s="11"/>
      <c r="D597" s="28">
        <f>G597-B597</f>
        <v>1044</v>
      </c>
      <c r="E597" s="7" t="s">
        <v>8</v>
      </c>
      <c r="F597" s="7" t="s">
        <v>8</v>
      </c>
      <c r="G597" s="34">
        <f>883+1392+2075</f>
        <v>4350</v>
      </c>
      <c r="H597" s="35"/>
    </row>
    <row r="598" spans="1:11" ht="15.75" hidden="1" thickBot="1" x14ac:dyDescent="0.3">
      <c r="A598" s="2" t="s">
        <v>13</v>
      </c>
      <c r="B598" s="6">
        <f>G598*56%</f>
        <v>9776.4800000000014</v>
      </c>
      <c r="C598" s="6"/>
      <c r="D598" s="28">
        <f>G598-B598</f>
        <v>7681.5199999999986</v>
      </c>
      <c r="E598" s="7" t="s">
        <v>8</v>
      </c>
      <c r="F598" s="7" t="s">
        <v>8</v>
      </c>
      <c r="G598" s="34">
        <v>17458</v>
      </c>
      <c r="H598" s="35"/>
    </row>
    <row r="599" spans="1:11" ht="30.75" hidden="1" thickBot="1" x14ac:dyDescent="0.3">
      <c r="A599" s="2" t="s">
        <v>14</v>
      </c>
      <c r="B599" s="6">
        <f>G599*56%</f>
        <v>4672.6400000000003</v>
      </c>
      <c r="C599" s="6"/>
      <c r="D599" s="28">
        <f>G599-B599</f>
        <v>3671.3599999999997</v>
      </c>
      <c r="E599" s="7" t="s">
        <v>8</v>
      </c>
      <c r="F599" s="7" t="s">
        <v>8</v>
      </c>
      <c r="G599" s="34">
        <f>5027+3317</f>
        <v>8344</v>
      </c>
      <c r="H599" s="35"/>
      <c r="I599" s="9">
        <f>G596+G597+G594</f>
        <v>204935</v>
      </c>
    </row>
    <row r="600" spans="1:11" ht="45.75" hidden="1" thickBot="1" x14ac:dyDescent="0.3">
      <c r="A600" s="2" t="s">
        <v>15</v>
      </c>
      <c r="B600" s="7" t="s">
        <v>8</v>
      </c>
      <c r="C600" s="7" t="s">
        <v>8</v>
      </c>
      <c r="D600" s="6"/>
      <c r="E600" s="7" t="s">
        <v>8</v>
      </c>
      <c r="F600" s="7" t="s">
        <v>8</v>
      </c>
      <c r="G600" s="34"/>
      <c r="H600" s="35"/>
    </row>
    <row r="601" spans="1:11" ht="15.75" hidden="1" thickBot="1" x14ac:dyDescent="0.3">
      <c r="A601" s="2" t="s">
        <v>16</v>
      </c>
      <c r="B601" s="7" t="s">
        <v>8</v>
      </c>
      <c r="C601" s="7" t="s">
        <v>8</v>
      </c>
      <c r="D601" s="11"/>
      <c r="E601" s="6">
        <v>0</v>
      </c>
      <c r="F601" s="6"/>
      <c r="G601" s="34">
        <v>0</v>
      </c>
      <c r="H601" s="35"/>
    </row>
    <row r="602" spans="1:11" ht="15.75" hidden="1" thickBot="1" x14ac:dyDescent="0.3">
      <c r="A602" s="3" t="s">
        <v>17</v>
      </c>
      <c r="B602" s="6">
        <f>G602*56%</f>
        <v>0</v>
      </c>
      <c r="C602" s="7"/>
      <c r="D602" s="6"/>
      <c r="E602" s="6">
        <f>G602-B602</f>
        <v>0</v>
      </c>
      <c r="F602" s="6"/>
      <c r="G602" s="34">
        <v>0</v>
      </c>
      <c r="H602" s="35"/>
      <c r="K602" s="9" t="e">
        <f>#REF!+#REF!+#REF!</f>
        <v>#REF!</v>
      </c>
    </row>
    <row r="603" spans="1:11" ht="15.75" hidden="1" thickBot="1" x14ac:dyDescent="0.3">
      <c r="A603" s="3" t="s">
        <v>18</v>
      </c>
      <c r="B603" s="6"/>
      <c r="C603" s="7"/>
      <c r="D603" s="7"/>
      <c r="E603" s="6"/>
      <c r="F603" s="6"/>
      <c r="G603" s="34"/>
      <c r="H603" s="35"/>
      <c r="K603" s="9" t="e">
        <f>251786-K602</f>
        <v>#REF!</v>
      </c>
    </row>
    <row r="604" spans="1:11" ht="45.75" hidden="1" thickBot="1" x14ac:dyDescent="0.3">
      <c r="A604" s="2" t="s">
        <v>19</v>
      </c>
      <c r="B604" s="6"/>
      <c r="C604" s="7"/>
      <c r="D604" s="6"/>
      <c r="E604" s="6"/>
      <c r="F604" s="6"/>
      <c r="G604" s="38"/>
      <c r="H604" s="39"/>
    </row>
    <row r="605" spans="1:11" ht="30.75" hidden="1" thickBot="1" x14ac:dyDescent="0.3">
      <c r="A605" s="2" t="s">
        <v>20</v>
      </c>
      <c r="B605" s="6">
        <f>G605*56%</f>
        <v>17736.88</v>
      </c>
      <c r="C605" s="7"/>
      <c r="D605" s="6"/>
      <c r="E605" s="6">
        <f>G605-B605</f>
        <v>13936.119999999999</v>
      </c>
      <c r="F605" s="6"/>
      <c r="G605" s="34">
        <v>31673</v>
      </c>
      <c r="H605" s="35"/>
    </row>
    <row r="606" spans="1:11" ht="30.75" hidden="1" thickBot="1" x14ac:dyDescent="0.3">
      <c r="A606" s="2" t="s">
        <v>21</v>
      </c>
      <c r="B606" s="6">
        <f>G606*56%</f>
        <v>16354.800000000001</v>
      </c>
      <c r="C606" s="6"/>
      <c r="D606" s="28">
        <f>G606-B606</f>
        <v>12850.199999999999</v>
      </c>
      <c r="E606" s="7" t="s">
        <v>8</v>
      </c>
      <c r="F606" s="7" t="s">
        <v>8</v>
      </c>
      <c r="G606" s="34">
        <f>27713+241+1251</f>
        <v>29205</v>
      </c>
      <c r="H606" s="35"/>
    </row>
    <row r="607" spans="1:11" ht="15.75" hidden="1" thickBot="1" x14ac:dyDescent="0.3">
      <c r="A607" s="3" t="s">
        <v>22</v>
      </c>
      <c r="B607" s="6">
        <f>G607*56%</f>
        <v>18949.280000000002</v>
      </c>
      <c r="C607" s="6"/>
      <c r="D607" s="28">
        <f>G607-B607</f>
        <v>14888.719999999998</v>
      </c>
      <c r="E607" s="7" t="s">
        <v>8</v>
      </c>
      <c r="F607" s="7" t="s">
        <v>8</v>
      </c>
      <c r="G607" s="34">
        <f>128+14704+10+3676+15320</f>
        <v>33838</v>
      </c>
      <c r="H607" s="35"/>
    </row>
    <row r="608" spans="1:11" ht="15.75" hidden="1" thickBot="1" x14ac:dyDescent="0.3">
      <c r="A608" s="3" t="s">
        <v>23</v>
      </c>
      <c r="B608" s="7" t="s">
        <v>8</v>
      </c>
      <c r="C608" s="11"/>
      <c r="D608" s="7" t="s">
        <v>8</v>
      </c>
      <c r="E608" s="7" t="s">
        <v>8</v>
      </c>
      <c r="F608" s="7" t="s">
        <v>8</v>
      </c>
      <c r="G608" s="38"/>
      <c r="H608" s="39"/>
    </row>
    <row r="609" spans="1:10" ht="15.75" thickBot="1" x14ac:dyDescent="0.3">
      <c r="A609" s="3" t="s">
        <v>24</v>
      </c>
      <c r="B609" s="6">
        <f>G609*56%</f>
        <v>0</v>
      </c>
      <c r="C609" s="6"/>
      <c r="D609" s="6"/>
      <c r="E609" s="7" t="s">
        <v>8</v>
      </c>
      <c r="F609" s="7" t="s">
        <v>8</v>
      </c>
      <c r="G609" s="34"/>
      <c r="H609" s="35"/>
    </row>
    <row r="610" spans="1:10" ht="15.75" thickBot="1" x14ac:dyDescent="0.3">
      <c r="A610" s="4" t="s">
        <v>25</v>
      </c>
      <c r="B610" s="6">
        <f>SUM(B594:B609)</f>
        <v>190449.68000000002</v>
      </c>
      <c r="C610" s="6"/>
      <c r="D610" s="6">
        <f>SUM(D594:D609)</f>
        <v>121067.2</v>
      </c>
      <c r="E610" s="6">
        <f>SUM(E594:E609)</f>
        <v>13936.119999999999</v>
      </c>
      <c r="F610" s="6"/>
      <c r="G610" s="34">
        <f>SUM(G594:H609)</f>
        <v>325453</v>
      </c>
      <c r="H610" s="35"/>
      <c r="J610" s="9">
        <f>325453-G610</f>
        <v>0</v>
      </c>
    </row>
    <row r="611" spans="1:10" x14ac:dyDescent="0.25">
      <c r="A611" s="36" t="s">
        <v>26</v>
      </c>
      <c r="B611" s="36"/>
      <c r="C611" s="36"/>
      <c r="D611" s="36"/>
      <c r="E611" s="36"/>
      <c r="F611" s="36"/>
      <c r="G611" s="36"/>
      <c r="H611" s="36"/>
    </row>
    <row r="612" spans="1:10" x14ac:dyDescent="0.25">
      <c r="A612" s="37" t="s">
        <v>27</v>
      </c>
      <c r="B612" s="37"/>
      <c r="C612" s="37"/>
      <c r="D612" s="37"/>
      <c r="E612" s="37"/>
      <c r="F612" s="37"/>
      <c r="G612" s="37"/>
      <c r="H612" s="37"/>
    </row>
    <row r="613" spans="1:10" x14ac:dyDescent="0.25">
      <c r="A613" s="37" t="s">
        <v>28</v>
      </c>
      <c r="B613" s="37"/>
      <c r="C613" s="37"/>
      <c r="D613" s="37"/>
      <c r="E613" s="37"/>
      <c r="F613" s="37"/>
      <c r="G613" s="37"/>
      <c r="H613" s="37"/>
    </row>
    <row r="614" spans="1:10" x14ac:dyDescent="0.25">
      <c r="A614" s="1"/>
      <c r="B614" s="8"/>
      <c r="C614" s="8"/>
      <c r="D614" s="8"/>
      <c r="E614" s="8"/>
      <c r="F614" s="8"/>
      <c r="G614" s="8"/>
      <c r="H614" s="8"/>
    </row>
    <row r="615" spans="1:10" ht="15.75" x14ac:dyDescent="0.25">
      <c r="A615" s="5"/>
      <c r="B615" s="12" t="s">
        <v>58</v>
      </c>
      <c r="C615" s="12">
        <v>193708</v>
      </c>
    </row>
    <row r="616" spans="1:10" x14ac:dyDescent="0.25">
      <c r="C616" s="9">
        <f>C615-B610</f>
        <v>3258.3199999999779</v>
      </c>
    </row>
    <row r="617" spans="1:10" x14ac:dyDescent="0.25">
      <c r="C617"/>
      <c r="D617"/>
      <c r="E617"/>
      <c r="F617"/>
      <c r="G617"/>
      <c r="H617"/>
    </row>
    <row r="618" spans="1:10" x14ac:dyDescent="0.25">
      <c r="C618"/>
      <c r="D618"/>
      <c r="E618"/>
      <c r="F618"/>
      <c r="G618"/>
      <c r="H618"/>
    </row>
    <row r="619" spans="1:10" x14ac:dyDescent="0.25">
      <c r="C619"/>
      <c r="D619"/>
      <c r="E619"/>
      <c r="F619"/>
      <c r="G619"/>
      <c r="H619"/>
    </row>
    <row r="620" spans="1:10" x14ac:dyDescent="0.25">
      <c r="C620"/>
      <c r="D620"/>
      <c r="E620"/>
      <c r="F620"/>
      <c r="G620"/>
      <c r="H620"/>
    </row>
    <row r="621" spans="1:10" x14ac:dyDescent="0.25">
      <c r="A621" s="29"/>
      <c r="B621" s="30"/>
      <c r="C621" s="30"/>
      <c r="D621" s="30"/>
      <c r="E621" s="56" t="s">
        <v>29</v>
      </c>
      <c r="F621" s="56"/>
      <c r="G621" s="56"/>
      <c r="H621" s="56"/>
    </row>
    <row r="622" spans="1:10" x14ac:dyDescent="0.25">
      <c r="A622" s="57"/>
      <c r="B622" s="58"/>
      <c r="C622" s="58"/>
      <c r="D622" s="59"/>
      <c r="E622" s="59" t="s">
        <v>0</v>
      </c>
      <c r="F622" s="59"/>
      <c r="G622" s="59"/>
      <c r="H622" s="59"/>
    </row>
    <row r="623" spans="1:10" x14ac:dyDescent="0.25">
      <c r="A623" s="57"/>
      <c r="B623" s="58"/>
      <c r="C623" s="58"/>
      <c r="D623" s="59"/>
      <c r="E623" s="69" t="s">
        <v>31</v>
      </c>
      <c r="F623" s="59"/>
      <c r="G623" s="59"/>
      <c r="H623" s="59"/>
    </row>
    <row r="624" spans="1:10" ht="15.75" thickBot="1" x14ac:dyDescent="0.3">
      <c r="A624" s="42" t="s">
        <v>49</v>
      </c>
      <c r="B624" s="42"/>
      <c r="C624" s="42"/>
      <c r="D624" s="42"/>
      <c r="E624" s="42"/>
      <c r="F624" s="42"/>
      <c r="G624" s="43"/>
      <c r="H624" s="43"/>
    </row>
    <row r="625" spans="1:11" x14ac:dyDescent="0.25">
      <c r="A625" s="44" t="s">
        <v>2</v>
      </c>
      <c r="B625" s="47" t="s">
        <v>30</v>
      </c>
      <c r="C625" s="48"/>
      <c r="D625" s="48"/>
      <c r="E625" s="48"/>
      <c r="F625" s="48"/>
      <c r="G625" s="49" t="s">
        <v>3</v>
      </c>
      <c r="H625" s="50"/>
    </row>
    <row r="626" spans="1:11" ht="135.75" thickBot="1" x14ac:dyDescent="0.3">
      <c r="A626" s="67"/>
      <c r="B626" s="49" t="s">
        <v>30</v>
      </c>
      <c r="C626" s="49"/>
      <c r="D626" s="14" t="s">
        <v>32</v>
      </c>
      <c r="E626" s="49" t="s">
        <v>4</v>
      </c>
      <c r="F626" s="49"/>
      <c r="G626" s="68"/>
      <c r="H626" s="53"/>
    </row>
    <row r="627" spans="1:11" ht="165.75" thickBot="1" x14ac:dyDescent="0.3">
      <c r="A627" s="46"/>
      <c r="B627" s="13" t="s">
        <v>36</v>
      </c>
      <c r="C627" s="27" t="s">
        <v>5</v>
      </c>
      <c r="D627" s="14" t="s">
        <v>33</v>
      </c>
      <c r="E627" s="27" t="s">
        <v>34</v>
      </c>
      <c r="F627" s="33" t="s">
        <v>35</v>
      </c>
      <c r="G627" s="54"/>
      <c r="H627" s="55"/>
    </row>
    <row r="628" spans="1:11" ht="15.75" thickBot="1" x14ac:dyDescent="0.3">
      <c r="A628" s="26">
        <v>1</v>
      </c>
      <c r="B628" s="33">
        <v>2</v>
      </c>
      <c r="C628" s="15">
        <v>3</v>
      </c>
      <c r="D628" s="27">
        <v>4</v>
      </c>
      <c r="E628" s="10">
        <v>5</v>
      </c>
      <c r="F628" s="33">
        <v>6</v>
      </c>
      <c r="G628" s="40" t="s">
        <v>37</v>
      </c>
      <c r="H628" s="41"/>
    </row>
    <row r="629" spans="1:11" ht="60.75" thickBot="1" x14ac:dyDescent="0.3">
      <c r="A629" s="2" t="s">
        <v>7</v>
      </c>
      <c r="B629" s="6">
        <f>B630</f>
        <v>81250.8</v>
      </c>
      <c r="C629" s="11"/>
      <c r="D629" s="6">
        <f>D630</f>
        <v>68804.2</v>
      </c>
      <c r="E629" s="7" t="s">
        <v>8</v>
      </c>
      <c r="F629" s="7" t="s">
        <v>8</v>
      </c>
      <c r="G629" s="34">
        <f>153571-1508-2075+67</f>
        <v>150055</v>
      </c>
      <c r="H629" s="35"/>
    </row>
    <row r="630" spans="1:11" ht="15.75" thickBot="1" x14ac:dyDescent="0.3">
      <c r="A630" s="3" t="s">
        <v>9</v>
      </c>
      <c r="B630" s="6">
        <f>G630*76%-32791</f>
        <v>81250.8</v>
      </c>
      <c r="C630" s="11"/>
      <c r="D630" s="28">
        <f>G630-B630</f>
        <v>68804.2</v>
      </c>
      <c r="E630" s="7" t="s">
        <v>8</v>
      </c>
      <c r="F630" s="7" t="s">
        <v>8</v>
      </c>
      <c r="G630" s="34">
        <f>G629</f>
        <v>150055</v>
      </c>
      <c r="H630" s="35"/>
    </row>
    <row r="631" spans="1:11" ht="15.75" thickBot="1" x14ac:dyDescent="0.3">
      <c r="A631" s="2" t="s">
        <v>10</v>
      </c>
      <c r="B631" s="6">
        <v>0</v>
      </c>
      <c r="C631" s="11"/>
      <c r="D631" s="6">
        <v>0</v>
      </c>
      <c r="E631" s="7" t="s">
        <v>8</v>
      </c>
      <c r="F631" s="7" t="s">
        <v>8</v>
      </c>
      <c r="G631" s="34">
        <v>0</v>
      </c>
      <c r="H631" s="35"/>
    </row>
    <row r="632" spans="1:11" ht="60.75" thickBot="1" x14ac:dyDescent="0.3">
      <c r="A632" s="2" t="s">
        <v>11</v>
      </c>
      <c r="B632" s="6">
        <f>G632*76%</f>
        <v>56205.04</v>
      </c>
      <c r="C632" s="11"/>
      <c r="D632" s="28">
        <f>G632-B632</f>
        <v>17748.96</v>
      </c>
      <c r="E632" s="7" t="s">
        <v>8</v>
      </c>
      <c r="F632" s="7" t="s">
        <v>8</v>
      </c>
      <c r="G632" s="34">
        <f>74894-940</f>
        <v>73954</v>
      </c>
      <c r="H632" s="35"/>
    </row>
    <row r="633" spans="1:11" ht="30.75" thickBot="1" x14ac:dyDescent="0.3">
      <c r="A633" s="2" t="s">
        <v>12</v>
      </c>
      <c r="B633" s="6">
        <f>G633*76%</f>
        <v>3437.48</v>
      </c>
      <c r="C633" s="11"/>
      <c r="D633" s="28">
        <f>G633-B633</f>
        <v>1085.52</v>
      </c>
      <c r="E633" s="7" t="s">
        <v>8</v>
      </c>
      <c r="F633" s="7" t="s">
        <v>8</v>
      </c>
      <c r="G633" s="34">
        <f>940+1508+2075</f>
        <v>4523</v>
      </c>
      <c r="H633" s="35"/>
    </row>
    <row r="634" spans="1:11" ht="15.75" thickBot="1" x14ac:dyDescent="0.3">
      <c r="A634" s="2" t="s">
        <v>13</v>
      </c>
      <c r="B634" s="6">
        <f>G634*56%</f>
        <v>9776.4800000000014</v>
      </c>
      <c r="C634" s="6"/>
      <c r="D634" s="28">
        <f>G634-B634</f>
        <v>7681.5199999999986</v>
      </c>
      <c r="E634" s="7" t="s">
        <v>8</v>
      </c>
      <c r="F634" s="7" t="s">
        <v>8</v>
      </c>
      <c r="G634" s="34">
        <v>17458</v>
      </c>
      <c r="H634" s="35"/>
    </row>
    <row r="635" spans="1:11" ht="30.75" hidden="1" thickBot="1" x14ac:dyDescent="0.3">
      <c r="A635" s="2" t="s">
        <v>14</v>
      </c>
      <c r="B635" s="6">
        <f>G635*56%</f>
        <v>6305.6</v>
      </c>
      <c r="C635" s="6"/>
      <c r="D635" s="28">
        <f>G635-B635</f>
        <v>4954.3999999999996</v>
      </c>
      <c r="E635" s="7" t="s">
        <v>8</v>
      </c>
      <c r="F635" s="7" t="s">
        <v>8</v>
      </c>
      <c r="G635" s="34">
        <f>7793+3467</f>
        <v>11260</v>
      </c>
      <c r="H635" s="35"/>
      <c r="I635" s="9">
        <f>G632+G633+G630</f>
        <v>228532</v>
      </c>
    </row>
    <row r="636" spans="1:11" ht="45.75" hidden="1" thickBot="1" x14ac:dyDescent="0.3">
      <c r="A636" s="2" t="s">
        <v>15</v>
      </c>
      <c r="B636" s="7" t="s">
        <v>8</v>
      </c>
      <c r="C636" s="7" t="s">
        <v>8</v>
      </c>
      <c r="D636" s="6"/>
      <c r="E636" s="7" t="s">
        <v>8</v>
      </c>
      <c r="F636" s="7" t="s">
        <v>8</v>
      </c>
      <c r="G636" s="34"/>
      <c r="H636" s="35"/>
    </row>
    <row r="637" spans="1:11" ht="15.75" hidden="1" thickBot="1" x14ac:dyDescent="0.3">
      <c r="A637" s="2" t="s">
        <v>16</v>
      </c>
      <c r="B637" s="7" t="s">
        <v>8</v>
      </c>
      <c r="C637" s="7" t="s">
        <v>8</v>
      </c>
      <c r="D637" s="11"/>
      <c r="E637" s="6">
        <v>0</v>
      </c>
      <c r="F637" s="6"/>
      <c r="G637" s="34">
        <v>0</v>
      </c>
      <c r="H637" s="35"/>
    </row>
    <row r="638" spans="1:11" ht="15.75" hidden="1" thickBot="1" x14ac:dyDescent="0.3">
      <c r="A638" s="3" t="s">
        <v>17</v>
      </c>
      <c r="B638" s="6">
        <f>G638*56%</f>
        <v>0</v>
      </c>
      <c r="C638" s="7"/>
      <c r="D638" s="6"/>
      <c r="E638" s="6">
        <f>G638-B638</f>
        <v>0</v>
      </c>
      <c r="F638" s="6"/>
      <c r="G638" s="34">
        <v>0</v>
      </c>
      <c r="H638" s="35"/>
      <c r="K638" s="9" t="e">
        <f>#REF!+#REF!+#REF!</f>
        <v>#REF!</v>
      </c>
    </row>
    <row r="639" spans="1:11" ht="15.75" hidden="1" thickBot="1" x14ac:dyDescent="0.3">
      <c r="A639" s="3" t="s">
        <v>18</v>
      </c>
      <c r="B639" s="6"/>
      <c r="C639" s="7"/>
      <c r="D639" s="7"/>
      <c r="E639" s="6"/>
      <c r="F639" s="6"/>
      <c r="G639" s="34"/>
      <c r="H639" s="35"/>
      <c r="K639" s="9" t="e">
        <f>251786-K638</f>
        <v>#REF!</v>
      </c>
    </row>
    <row r="640" spans="1:11" ht="45.75" hidden="1" thickBot="1" x14ac:dyDescent="0.3">
      <c r="A640" s="2" t="s">
        <v>19</v>
      </c>
      <c r="B640" s="6"/>
      <c r="C640" s="7"/>
      <c r="D640" s="6"/>
      <c r="E640" s="6"/>
      <c r="F640" s="6"/>
      <c r="G640" s="38"/>
      <c r="H640" s="39"/>
    </row>
    <row r="641" spans="1:10" ht="30.75" thickBot="1" x14ac:dyDescent="0.3">
      <c r="A641" s="2" t="s">
        <v>20</v>
      </c>
      <c r="B641" s="6">
        <f>G641*56%</f>
        <v>19547.920000000002</v>
      </c>
      <c r="C641" s="7"/>
      <c r="D641" s="6"/>
      <c r="E641" s="6">
        <f>G641-B641</f>
        <v>15359.079999999998</v>
      </c>
      <c r="F641" s="6"/>
      <c r="G641" s="34">
        <v>34907</v>
      </c>
      <c r="H641" s="35"/>
    </row>
    <row r="642" spans="1:10" ht="30.75" thickBot="1" x14ac:dyDescent="0.3">
      <c r="A642" s="2" t="s">
        <v>21</v>
      </c>
      <c r="B642" s="6">
        <f>G642*56%</f>
        <v>19666.080000000002</v>
      </c>
      <c r="C642" s="6"/>
      <c r="D642" s="28">
        <f>G642-B642</f>
        <v>15451.919999999998</v>
      </c>
      <c r="E642" s="7" t="s">
        <v>8</v>
      </c>
      <c r="F642" s="7" t="s">
        <v>8</v>
      </c>
      <c r="G642" s="34">
        <f>33303+1574+241</f>
        <v>35118</v>
      </c>
      <c r="H642" s="35"/>
    </row>
    <row r="643" spans="1:10" ht="15.75" thickBot="1" x14ac:dyDescent="0.3">
      <c r="A643" s="3" t="s">
        <v>22</v>
      </c>
      <c r="B643" s="6">
        <f>G643*56%</f>
        <v>19881.68</v>
      </c>
      <c r="C643" s="6"/>
      <c r="D643" s="28">
        <f>G643-B643</f>
        <v>15621.32</v>
      </c>
      <c r="E643" s="7" t="s">
        <v>8</v>
      </c>
      <c r="F643" s="7" t="s">
        <v>8</v>
      </c>
      <c r="G643" s="34">
        <f>128+16349+10+3696+15320</f>
        <v>35503</v>
      </c>
      <c r="H643" s="35"/>
    </row>
    <row r="644" spans="1:10" ht="15.75" thickBot="1" x14ac:dyDescent="0.3">
      <c r="A644" s="3" t="s">
        <v>23</v>
      </c>
      <c r="B644" s="7" t="s">
        <v>8</v>
      </c>
      <c r="C644" s="11"/>
      <c r="D644" s="7" t="s">
        <v>8</v>
      </c>
      <c r="E644" s="7" t="s">
        <v>8</v>
      </c>
      <c r="F644" s="7" t="s">
        <v>8</v>
      </c>
      <c r="G644" s="38"/>
      <c r="H644" s="39"/>
    </row>
    <row r="645" spans="1:10" ht="15.75" thickBot="1" x14ac:dyDescent="0.3">
      <c r="A645" s="3" t="s">
        <v>24</v>
      </c>
      <c r="B645" s="6">
        <f>G645*56%</f>
        <v>0</v>
      </c>
      <c r="C645" s="6"/>
      <c r="D645" s="6"/>
      <c r="E645" s="7" t="s">
        <v>8</v>
      </c>
      <c r="F645" s="7" t="s">
        <v>8</v>
      </c>
      <c r="G645" s="34"/>
      <c r="H645" s="35"/>
    </row>
    <row r="646" spans="1:10" ht="15.75" thickBot="1" x14ac:dyDescent="0.3">
      <c r="A646" s="4" t="s">
        <v>25</v>
      </c>
      <c r="B646" s="6">
        <f>SUM(B630:B645)</f>
        <v>216071.08000000002</v>
      </c>
      <c r="C646" s="6"/>
      <c r="D646" s="6">
        <f>SUM(D630:D645)</f>
        <v>131347.84</v>
      </c>
      <c r="E646" s="6">
        <f>SUM(E630:E645)</f>
        <v>15359.079999999998</v>
      </c>
      <c r="F646" s="6"/>
      <c r="G646" s="34">
        <f>SUM(G630:H645)</f>
        <v>362778</v>
      </c>
      <c r="H646" s="35"/>
      <c r="J646" s="9"/>
    </row>
    <row r="647" spans="1:10" x14ac:dyDescent="0.25">
      <c r="A647" s="36" t="s">
        <v>26</v>
      </c>
      <c r="B647" s="36"/>
      <c r="C647" s="36"/>
      <c r="D647" s="36"/>
      <c r="E647" s="36"/>
      <c r="F647" s="36"/>
      <c r="G647" s="36"/>
      <c r="H647" s="36"/>
    </row>
    <row r="648" spans="1:10" x14ac:dyDescent="0.25">
      <c r="A648" s="37" t="s">
        <v>27</v>
      </c>
      <c r="B648" s="37"/>
      <c r="C648" s="37"/>
      <c r="D648" s="37"/>
      <c r="E648" s="37"/>
      <c r="F648" s="37"/>
      <c r="G648" s="37"/>
      <c r="H648" s="37"/>
    </row>
    <row r="649" spans="1:10" x14ac:dyDescent="0.25">
      <c r="A649" s="37" t="s">
        <v>28</v>
      </c>
      <c r="B649" s="37"/>
      <c r="C649" s="37"/>
      <c r="D649" s="37"/>
      <c r="E649" s="37"/>
      <c r="F649" s="37"/>
      <c r="G649" s="37"/>
      <c r="H649" s="37"/>
    </row>
    <row r="650" spans="1:10" x14ac:dyDescent="0.25">
      <c r="A650" s="1"/>
      <c r="B650" s="8"/>
      <c r="C650" s="8"/>
      <c r="D650" s="8"/>
      <c r="E650" s="8"/>
      <c r="F650" s="8"/>
      <c r="G650" s="8"/>
      <c r="H650" s="8"/>
    </row>
    <row r="651" spans="1:10" ht="15.75" x14ac:dyDescent="0.25">
      <c r="A651" s="5"/>
      <c r="B651" s="12" t="s">
        <v>59</v>
      </c>
      <c r="C651" s="12">
        <v>213073</v>
      </c>
    </row>
    <row r="652" spans="1:10" x14ac:dyDescent="0.25">
      <c r="C652" s="9">
        <f>C651-B646</f>
        <v>-2998.0800000000163</v>
      </c>
    </row>
    <row r="653" spans="1:10" x14ac:dyDescent="0.25">
      <c r="C653"/>
      <c r="D653"/>
      <c r="E653"/>
      <c r="F653"/>
      <c r="G653"/>
      <c r="H653"/>
    </row>
    <row r="654" spans="1:10" x14ac:dyDescent="0.25">
      <c r="C654"/>
      <c r="D654"/>
      <c r="E654"/>
      <c r="F654"/>
      <c r="G654"/>
      <c r="H654"/>
    </row>
    <row r="655" spans="1:10" x14ac:dyDescent="0.25">
      <c r="C655"/>
      <c r="D655"/>
      <c r="E655"/>
      <c r="F655"/>
      <c r="G655"/>
      <c r="H655"/>
    </row>
    <row r="656" spans="1:10" ht="15.75" thickBot="1" x14ac:dyDescent="0.3">
      <c r="C656"/>
      <c r="D656"/>
      <c r="E656"/>
      <c r="F656"/>
      <c r="G656"/>
      <c r="H656"/>
    </row>
    <row r="657" spans="1:11" ht="15.75" hidden="1" thickBot="1" x14ac:dyDescent="0.3">
      <c r="C657"/>
      <c r="D657"/>
      <c r="E657"/>
      <c r="F657"/>
      <c r="G657"/>
      <c r="H657"/>
    </row>
    <row r="658" spans="1:11" ht="15.75" hidden="1" thickBot="1" x14ac:dyDescent="0.3">
      <c r="C658"/>
      <c r="D658"/>
      <c r="E658"/>
      <c r="F658"/>
      <c r="G658"/>
      <c r="H658"/>
    </row>
    <row r="659" spans="1:11" ht="15.75" hidden="1" thickBot="1" x14ac:dyDescent="0.3">
      <c r="C659"/>
      <c r="D659"/>
      <c r="E659"/>
      <c r="F659"/>
      <c r="G659"/>
      <c r="H659"/>
      <c r="K659" s="9">
        <f>G688-G683</f>
        <v>387335</v>
      </c>
    </row>
    <row r="660" spans="1:11" ht="15.75" hidden="1" thickBot="1" x14ac:dyDescent="0.3">
      <c r="C660"/>
      <c r="D660"/>
      <c r="E660"/>
      <c r="F660"/>
      <c r="G660"/>
      <c r="H660"/>
      <c r="K660" s="9">
        <f>K659-371770</f>
        <v>15565</v>
      </c>
    </row>
    <row r="661" spans="1:11" ht="15.75" hidden="1" thickBot="1" x14ac:dyDescent="0.3">
      <c r="C661"/>
      <c r="D661"/>
      <c r="E661"/>
      <c r="F661"/>
      <c r="G661"/>
      <c r="H661"/>
    </row>
    <row r="662" spans="1:11" ht="15.75" hidden="1" thickBot="1" x14ac:dyDescent="0.3">
      <c r="C662"/>
      <c r="D662"/>
      <c r="E662"/>
      <c r="F662"/>
      <c r="G662"/>
      <c r="H662"/>
    </row>
    <row r="663" spans="1:11" ht="15.75" hidden="1" thickBot="1" x14ac:dyDescent="0.3">
      <c r="A663" s="29"/>
      <c r="B663" s="30"/>
      <c r="C663" s="30"/>
      <c r="D663" s="30"/>
      <c r="E663" s="56" t="s">
        <v>29</v>
      </c>
      <c r="F663" s="56"/>
      <c r="G663" s="56"/>
      <c r="H663" s="56"/>
    </row>
    <row r="664" spans="1:11" ht="15.75" hidden="1" thickBot="1" x14ac:dyDescent="0.3">
      <c r="A664" s="57"/>
      <c r="B664" s="58"/>
      <c r="C664" s="58"/>
      <c r="D664" s="59"/>
      <c r="E664" s="59" t="s">
        <v>0</v>
      </c>
      <c r="F664" s="59"/>
      <c r="G664" s="59"/>
      <c r="H664" s="59"/>
    </row>
    <row r="665" spans="1:11" ht="15.75" hidden="1" thickBot="1" x14ac:dyDescent="0.3">
      <c r="A665" s="57"/>
      <c r="B665" s="58"/>
      <c r="C665" s="58"/>
      <c r="D665" s="59"/>
      <c r="E665" s="69" t="s">
        <v>31</v>
      </c>
      <c r="F665" s="59"/>
      <c r="G665" s="59"/>
      <c r="H665" s="59"/>
    </row>
    <row r="666" spans="1:11" ht="15.75" hidden="1" thickBot="1" x14ac:dyDescent="0.3">
      <c r="A666" s="42" t="s">
        <v>43</v>
      </c>
      <c r="B666" s="42"/>
      <c r="C666" s="42"/>
      <c r="D666" s="42"/>
      <c r="E666" s="42"/>
      <c r="F666" s="42"/>
      <c r="G666" s="43"/>
      <c r="H666" s="43"/>
    </row>
    <row r="667" spans="1:11" ht="15.75" hidden="1" thickBot="1" x14ac:dyDescent="0.3">
      <c r="A667" s="44" t="s">
        <v>2</v>
      </c>
      <c r="B667" s="47" t="s">
        <v>30</v>
      </c>
      <c r="C667" s="48"/>
      <c r="D667" s="48"/>
      <c r="E667" s="48"/>
      <c r="F667" s="48"/>
      <c r="G667" s="49" t="s">
        <v>3</v>
      </c>
      <c r="H667" s="50"/>
    </row>
    <row r="668" spans="1:11" ht="135.75" hidden="1" thickBot="1" x14ac:dyDescent="0.3">
      <c r="A668" s="67"/>
      <c r="B668" s="49" t="s">
        <v>30</v>
      </c>
      <c r="C668" s="49"/>
      <c r="D668" s="14" t="s">
        <v>32</v>
      </c>
      <c r="E668" s="49" t="s">
        <v>4</v>
      </c>
      <c r="F668" s="49"/>
      <c r="G668" s="68"/>
      <c r="H668" s="53"/>
    </row>
    <row r="669" spans="1:11" ht="165.75" hidden="1" thickBot="1" x14ac:dyDescent="0.3">
      <c r="A669" s="46"/>
      <c r="B669" s="13" t="s">
        <v>36</v>
      </c>
      <c r="C669" s="27" t="s">
        <v>5</v>
      </c>
      <c r="D669" s="14" t="s">
        <v>33</v>
      </c>
      <c r="E669" s="27" t="s">
        <v>34</v>
      </c>
      <c r="F669" s="33" t="s">
        <v>35</v>
      </c>
      <c r="G669" s="54"/>
      <c r="H669" s="55"/>
    </row>
    <row r="670" spans="1:11" ht="15.75" hidden="1" thickBot="1" x14ac:dyDescent="0.3">
      <c r="A670" s="26">
        <v>1</v>
      </c>
      <c r="B670" s="33">
        <v>2</v>
      </c>
      <c r="C670" s="15">
        <v>3</v>
      </c>
      <c r="D670" s="27">
        <v>4</v>
      </c>
      <c r="E670" s="10">
        <v>5</v>
      </c>
      <c r="F670" s="33">
        <v>6</v>
      </c>
      <c r="G670" s="40" t="s">
        <v>37</v>
      </c>
      <c r="H670" s="41"/>
    </row>
    <row r="671" spans="1:11" ht="57.75" hidden="1" customHeight="1" x14ac:dyDescent="0.25">
      <c r="A671" s="2" t="s">
        <v>7</v>
      </c>
      <c r="B671" s="6">
        <f>B672</f>
        <v>129144.52</v>
      </c>
      <c r="C671" s="11"/>
      <c r="D671" s="6">
        <f>D672</f>
        <v>40782.479999999996</v>
      </c>
      <c r="E671" s="7" t="s">
        <v>8</v>
      </c>
      <c r="F671" s="7" t="s">
        <v>8</v>
      </c>
      <c r="G671" s="34">
        <f>174390-4529+66</f>
        <v>169927</v>
      </c>
      <c r="H671" s="35"/>
    </row>
    <row r="672" spans="1:11" ht="15.75" hidden="1" thickBot="1" x14ac:dyDescent="0.3">
      <c r="A672" s="3" t="s">
        <v>9</v>
      </c>
      <c r="B672" s="6">
        <f>G672*76%</f>
        <v>129144.52</v>
      </c>
      <c r="C672" s="11"/>
      <c r="D672" s="28">
        <f>G672-B672</f>
        <v>40782.479999999996</v>
      </c>
      <c r="E672" s="7" t="s">
        <v>8</v>
      </c>
      <c r="F672" s="7" t="s">
        <v>8</v>
      </c>
      <c r="G672" s="34">
        <f>G671</f>
        <v>169927</v>
      </c>
      <c r="H672" s="35"/>
      <c r="I672">
        <f>G672/K676</f>
        <v>0.67488929046607227</v>
      </c>
    </row>
    <row r="673" spans="1:11" ht="15.75" hidden="1" thickBot="1" x14ac:dyDescent="0.3">
      <c r="A673" s="2" t="s">
        <v>10</v>
      </c>
      <c r="B673" s="6">
        <v>0</v>
      </c>
      <c r="C673" s="11"/>
      <c r="D673" s="6">
        <v>0</v>
      </c>
      <c r="E673" s="7" t="s">
        <v>8</v>
      </c>
      <c r="F673" s="7" t="s">
        <v>8</v>
      </c>
      <c r="G673" s="34">
        <v>0</v>
      </c>
      <c r="H673" s="35"/>
    </row>
    <row r="674" spans="1:11" ht="60.75" hidden="1" thickBot="1" x14ac:dyDescent="0.3">
      <c r="A674" s="2" t="s">
        <v>11</v>
      </c>
      <c r="B674" s="6">
        <f>G674*76%</f>
        <v>57890.720000000001</v>
      </c>
      <c r="C674" s="11"/>
      <c r="D674" s="28">
        <f>G674-B674</f>
        <v>18281.28</v>
      </c>
      <c r="E674" s="7" t="s">
        <v>8</v>
      </c>
      <c r="F674" s="7" t="s">
        <v>8</v>
      </c>
      <c r="G674" s="34">
        <f>77329-1157</f>
        <v>76172</v>
      </c>
      <c r="H674" s="35"/>
      <c r="I674">
        <f>G674/K676</f>
        <v>0.30252795043390196</v>
      </c>
    </row>
    <row r="675" spans="1:11" ht="30.75" hidden="1" thickBot="1" x14ac:dyDescent="0.3">
      <c r="A675" s="2" t="s">
        <v>12</v>
      </c>
      <c r="B675" s="6">
        <f>G675*76%</f>
        <v>4321.3599999999997</v>
      </c>
      <c r="C675" s="11"/>
      <c r="D675" s="28">
        <f>G675-B675</f>
        <v>1364.6400000000003</v>
      </c>
      <c r="E675" s="7" t="s">
        <v>8</v>
      </c>
      <c r="F675" s="7" t="s">
        <v>8</v>
      </c>
      <c r="G675" s="34">
        <v>5686</v>
      </c>
      <c r="H675" s="35"/>
      <c r="I675">
        <f>G675/K676</f>
        <v>2.2582759100025815E-2</v>
      </c>
    </row>
    <row r="676" spans="1:11" ht="15.75" hidden="1" thickBot="1" x14ac:dyDescent="0.3">
      <c r="A676" s="2" t="s">
        <v>13</v>
      </c>
      <c r="B676" s="6">
        <f>G676*56%</f>
        <v>14558.880000000001</v>
      </c>
      <c r="C676" s="6"/>
      <c r="D676" s="28">
        <f>G676-B676</f>
        <v>11439.119999999999</v>
      </c>
      <c r="E676" s="7" t="s">
        <v>8</v>
      </c>
      <c r="F676" s="7" t="s">
        <v>8</v>
      </c>
      <c r="G676" s="34">
        <v>25998</v>
      </c>
      <c r="H676" s="35"/>
      <c r="J676" s="9">
        <f>G675+G674+G672</f>
        <v>251785</v>
      </c>
      <c r="K676" s="9">
        <f>G671+G674+G675</f>
        <v>251785</v>
      </c>
    </row>
    <row r="677" spans="1:11" ht="30.75" hidden="1" thickBot="1" x14ac:dyDescent="0.3">
      <c r="A677" s="2" t="s">
        <v>14</v>
      </c>
      <c r="B677" s="6">
        <f>G677*56%</f>
        <v>12036.080000000002</v>
      </c>
      <c r="C677" s="6"/>
      <c r="D677" s="28">
        <f>G677-B677</f>
        <v>9456.9199999999983</v>
      </c>
      <c r="E677" s="7" t="s">
        <v>8</v>
      </c>
      <c r="F677" s="7" t="s">
        <v>8</v>
      </c>
      <c r="G677" s="34">
        <f>13939+7554</f>
        <v>21493</v>
      </c>
      <c r="H677" s="35"/>
    </row>
    <row r="678" spans="1:11" ht="45.75" hidden="1" thickBot="1" x14ac:dyDescent="0.3">
      <c r="A678" s="2" t="s">
        <v>15</v>
      </c>
      <c r="B678" s="7" t="s">
        <v>8</v>
      </c>
      <c r="C678" s="7" t="s">
        <v>8</v>
      </c>
      <c r="D678" s="6"/>
      <c r="E678" s="7" t="s">
        <v>8</v>
      </c>
      <c r="F678" s="7" t="s">
        <v>8</v>
      </c>
      <c r="G678" s="34"/>
      <c r="H678" s="35"/>
    </row>
    <row r="679" spans="1:11" ht="15.75" hidden="1" thickBot="1" x14ac:dyDescent="0.3">
      <c r="A679" s="2" t="s">
        <v>16</v>
      </c>
      <c r="B679" s="7" t="s">
        <v>8</v>
      </c>
      <c r="C679" s="7" t="s">
        <v>8</v>
      </c>
      <c r="D679" s="11"/>
      <c r="E679" s="6">
        <v>0</v>
      </c>
      <c r="F679" s="6"/>
      <c r="G679" s="34">
        <v>0</v>
      </c>
      <c r="H679" s="35"/>
    </row>
    <row r="680" spans="1:11" ht="15.75" hidden="1" thickBot="1" x14ac:dyDescent="0.3">
      <c r="A680" s="3" t="s">
        <v>17</v>
      </c>
      <c r="B680" s="6">
        <f>G680*56%</f>
        <v>0</v>
      </c>
      <c r="C680" s="7"/>
      <c r="D680" s="6"/>
      <c r="E680" s="6">
        <f>G680-B680</f>
        <v>0</v>
      </c>
      <c r="F680" s="6"/>
      <c r="G680" s="34">
        <v>0</v>
      </c>
      <c r="H680" s="35"/>
    </row>
    <row r="681" spans="1:11" ht="15.75" hidden="1" thickBot="1" x14ac:dyDescent="0.3">
      <c r="A681" s="3" t="s">
        <v>18</v>
      </c>
      <c r="B681" s="6"/>
      <c r="C681" s="7"/>
      <c r="D681" s="7"/>
      <c r="E681" s="6"/>
      <c r="F681" s="6"/>
      <c r="G681" s="34"/>
      <c r="H681" s="35"/>
    </row>
    <row r="682" spans="1:11" ht="45.75" hidden="1" thickBot="1" x14ac:dyDescent="0.3">
      <c r="A682" s="2" t="s">
        <v>19</v>
      </c>
      <c r="B682" s="6"/>
      <c r="C682" s="7"/>
      <c r="D682" s="6"/>
      <c r="E682" s="6"/>
      <c r="F682" s="6"/>
      <c r="G682" s="38"/>
      <c r="H682" s="39"/>
    </row>
    <row r="683" spans="1:11" ht="30.75" thickBot="1" x14ac:dyDescent="0.3">
      <c r="A683" s="2" t="s">
        <v>20</v>
      </c>
      <c r="B683" s="6"/>
      <c r="C683" s="7"/>
      <c r="D683" s="6"/>
      <c r="E683" s="6">
        <f>G683-B683</f>
        <v>38142</v>
      </c>
      <c r="F683" s="6"/>
      <c r="G683" s="34">
        <v>38142</v>
      </c>
      <c r="H683" s="35"/>
    </row>
    <row r="684" spans="1:11" ht="30.75" thickBot="1" x14ac:dyDescent="0.3">
      <c r="A684" s="2" t="s">
        <v>21</v>
      </c>
      <c r="B684" s="6">
        <f>G684*56%-10000</f>
        <v>12850.800000000003</v>
      </c>
      <c r="C684" s="6"/>
      <c r="D684" s="28">
        <f>G684-B684</f>
        <v>27954.199999999997</v>
      </c>
      <c r="E684" s="7" t="s">
        <v>8</v>
      </c>
      <c r="F684" s="7" t="s">
        <v>8</v>
      </c>
      <c r="G684" s="34">
        <f>38990+241+1574</f>
        <v>40805</v>
      </c>
      <c r="H684" s="35"/>
    </row>
    <row r="685" spans="1:11" ht="15.75" thickBot="1" x14ac:dyDescent="0.3">
      <c r="A685" s="3" t="s">
        <v>22</v>
      </c>
      <c r="B685" s="6">
        <f>G685*56%-15144</f>
        <v>11318.240000000002</v>
      </c>
      <c r="C685" s="6"/>
      <c r="D685" s="28">
        <f>G685-B685</f>
        <v>35935.759999999995</v>
      </c>
      <c r="E685" s="7" t="s">
        <v>8</v>
      </c>
      <c r="F685" s="7" t="s">
        <v>8</v>
      </c>
      <c r="G685" s="34">
        <f>15320+133+10125+17927+3739+10</f>
        <v>47254</v>
      </c>
      <c r="H685" s="35"/>
    </row>
    <row r="686" spans="1:11" ht="15.75" thickBot="1" x14ac:dyDescent="0.3">
      <c r="A686" s="3" t="s">
        <v>23</v>
      </c>
      <c r="B686" s="7" t="s">
        <v>8</v>
      </c>
      <c r="C686" s="11"/>
      <c r="D686" s="7" t="s">
        <v>8</v>
      </c>
      <c r="E686" s="7" t="s">
        <v>8</v>
      </c>
      <c r="F686" s="7" t="s">
        <v>8</v>
      </c>
      <c r="G686" s="38"/>
      <c r="H686" s="39"/>
    </row>
    <row r="687" spans="1:11" ht="15.75" thickBot="1" x14ac:dyDescent="0.3">
      <c r="A687" s="3" t="s">
        <v>24</v>
      </c>
      <c r="B687" s="6">
        <f>G687*56%</f>
        <v>0</v>
      </c>
      <c r="C687" s="6"/>
      <c r="D687" s="6"/>
      <c r="E687" s="7" t="s">
        <v>8</v>
      </c>
      <c r="F687" s="7" t="s">
        <v>8</v>
      </c>
      <c r="G687" s="34"/>
      <c r="H687" s="35"/>
    </row>
    <row r="688" spans="1:11" ht="15.75" thickBot="1" x14ac:dyDescent="0.3">
      <c r="A688" s="4" t="s">
        <v>25</v>
      </c>
      <c r="B688" s="6">
        <f>SUM(B672:B687)</f>
        <v>242120.59999999998</v>
      </c>
      <c r="C688" s="6"/>
      <c r="D688" s="6">
        <f>SUM(D672:D687)</f>
        <v>145214.39999999997</v>
      </c>
      <c r="E688" s="6">
        <f>SUM(E672:E687)</f>
        <v>38142</v>
      </c>
      <c r="F688" s="6"/>
      <c r="G688" s="34">
        <f>SUM(G672:H687)</f>
        <v>425477</v>
      </c>
      <c r="H688" s="35"/>
      <c r="J688" s="9"/>
    </row>
    <row r="689" spans="1:8" x14ac:dyDescent="0.25">
      <c r="A689" s="36" t="s">
        <v>26</v>
      </c>
      <c r="B689" s="36"/>
      <c r="C689" s="36"/>
      <c r="D689" s="36"/>
      <c r="E689" s="36"/>
      <c r="F689" s="36"/>
      <c r="G689" s="36"/>
      <c r="H689" s="36"/>
    </row>
    <row r="690" spans="1:8" x14ac:dyDescent="0.25">
      <c r="A690" s="37" t="s">
        <v>27</v>
      </c>
      <c r="B690" s="37"/>
      <c r="C690" s="37"/>
      <c r="D690" s="37"/>
      <c r="E690" s="37"/>
      <c r="F690" s="37"/>
      <c r="G690" s="37"/>
      <c r="H690" s="37"/>
    </row>
    <row r="691" spans="1:8" x14ac:dyDescent="0.25">
      <c r="A691" s="37" t="s">
        <v>28</v>
      </c>
      <c r="B691" s="37"/>
      <c r="C691" s="37"/>
      <c r="D691" s="37"/>
      <c r="E691" s="37"/>
      <c r="F691" s="37"/>
      <c r="G691" s="37"/>
      <c r="H691" s="37"/>
    </row>
    <row r="692" spans="1:8" x14ac:dyDescent="0.25">
      <c r="A692" s="1"/>
      <c r="B692" s="8"/>
      <c r="C692" s="8"/>
      <c r="D692" s="8"/>
      <c r="E692" s="8"/>
      <c r="F692" s="8"/>
      <c r="G692" s="8"/>
      <c r="H692" s="8"/>
    </row>
    <row r="693" spans="1:8" ht="15.75" x14ac:dyDescent="0.25">
      <c r="A693" s="5"/>
      <c r="B693" s="12" t="s">
        <v>60</v>
      </c>
      <c r="C693" s="12">
        <v>233404</v>
      </c>
    </row>
    <row r="695" spans="1:8" x14ac:dyDescent="0.25">
      <c r="B695" s="9">
        <f>233404-B688</f>
        <v>-8716.5999999999767</v>
      </c>
      <c r="C695"/>
      <c r="D695"/>
      <c r="E695"/>
      <c r="F695"/>
      <c r="G695"/>
      <c r="H695"/>
    </row>
    <row r="696" spans="1:8" x14ac:dyDescent="0.25">
      <c r="C696"/>
      <c r="D696"/>
      <c r="E696"/>
      <c r="F696"/>
      <c r="G696"/>
      <c r="H696"/>
    </row>
    <row r="697" spans="1:8" x14ac:dyDescent="0.25">
      <c r="C697"/>
      <c r="D697"/>
      <c r="E697"/>
      <c r="F697"/>
      <c r="G697"/>
      <c r="H697"/>
    </row>
    <row r="698" spans="1:8" x14ac:dyDescent="0.25">
      <c r="C698"/>
      <c r="D698"/>
      <c r="E698"/>
      <c r="F698"/>
      <c r="G698"/>
      <c r="H698"/>
    </row>
    <row r="699" spans="1:8" x14ac:dyDescent="0.25">
      <c r="B699"/>
      <c r="C699"/>
      <c r="D699"/>
      <c r="E699"/>
      <c r="F699"/>
      <c r="G699"/>
      <c r="H699"/>
    </row>
    <row r="700" spans="1:8" x14ac:dyDescent="0.25">
      <c r="B700"/>
      <c r="C700"/>
      <c r="D700"/>
      <c r="E700"/>
      <c r="F700"/>
      <c r="G700"/>
      <c r="H700"/>
    </row>
    <row r="701" spans="1:8" x14ac:dyDescent="0.25">
      <c r="B701"/>
      <c r="C701"/>
      <c r="D701"/>
      <c r="E701"/>
      <c r="F701"/>
      <c r="G701"/>
      <c r="H701"/>
    </row>
    <row r="702" spans="1:8" x14ac:dyDescent="0.25">
      <c r="B702"/>
      <c r="C702"/>
      <c r="D702"/>
      <c r="E702"/>
      <c r="F702"/>
      <c r="G702"/>
      <c r="H702"/>
    </row>
    <row r="703" spans="1:8" x14ac:dyDescent="0.25">
      <c r="B703"/>
      <c r="C703"/>
      <c r="D703"/>
      <c r="E703"/>
      <c r="F703"/>
      <c r="G703"/>
      <c r="H703"/>
    </row>
    <row r="704" spans="1:8" x14ac:dyDescent="0.25">
      <c r="B704"/>
      <c r="C704"/>
      <c r="D704"/>
      <c r="E704"/>
      <c r="F704"/>
      <c r="G704"/>
      <c r="H704"/>
    </row>
    <row r="705" spans="2:8" x14ac:dyDescent="0.25">
      <c r="B705"/>
      <c r="C705"/>
      <c r="D705"/>
      <c r="E705"/>
      <c r="F705"/>
      <c r="G705"/>
      <c r="H705"/>
    </row>
  </sheetData>
  <mergeCells count="707">
    <mergeCell ref="E2:H2"/>
    <mergeCell ref="A3:A4"/>
    <mergeCell ref="B3:B4"/>
    <mergeCell ref="C3:C4"/>
    <mergeCell ref="D3:D4"/>
    <mergeCell ref="E3:H3"/>
    <mergeCell ref="E4:H4"/>
    <mergeCell ref="G9:H9"/>
    <mergeCell ref="G10:H10"/>
    <mergeCell ref="G11:H11"/>
    <mergeCell ref="G12:H12"/>
    <mergeCell ref="G13:H13"/>
    <mergeCell ref="G14:H14"/>
    <mergeCell ref="A5:H5"/>
    <mergeCell ref="A6:A8"/>
    <mergeCell ref="B6:F6"/>
    <mergeCell ref="G6:H6"/>
    <mergeCell ref="B7:C7"/>
    <mergeCell ref="E7:F7"/>
    <mergeCell ref="G7:H7"/>
    <mergeCell ref="G8:H8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27:H27"/>
    <mergeCell ref="A28:H28"/>
    <mergeCell ref="A29:H29"/>
    <mergeCell ref="A30:H30"/>
    <mergeCell ref="E38:H38"/>
    <mergeCell ref="A39:A40"/>
    <mergeCell ref="B39:B40"/>
    <mergeCell ref="C39:C40"/>
    <mergeCell ref="D39:D40"/>
    <mergeCell ref="E39:H39"/>
    <mergeCell ref="G45:H45"/>
    <mergeCell ref="G46:H46"/>
    <mergeCell ref="G47:H47"/>
    <mergeCell ref="G48:H48"/>
    <mergeCell ref="G49:H49"/>
    <mergeCell ref="G50:H50"/>
    <mergeCell ref="E40:H40"/>
    <mergeCell ref="A41:H41"/>
    <mergeCell ref="A42:A44"/>
    <mergeCell ref="B42:F42"/>
    <mergeCell ref="G42:H42"/>
    <mergeCell ref="B43:C43"/>
    <mergeCell ref="E43:F43"/>
    <mergeCell ref="G43:H43"/>
    <mergeCell ref="G44:H44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63:H63"/>
    <mergeCell ref="A64:H64"/>
    <mergeCell ref="A65:H65"/>
    <mergeCell ref="A66:H66"/>
    <mergeCell ref="E76:H76"/>
    <mergeCell ref="A77:A78"/>
    <mergeCell ref="B77:B78"/>
    <mergeCell ref="C77:C78"/>
    <mergeCell ref="D77:D78"/>
    <mergeCell ref="E77:H77"/>
    <mergeCell ref="G83:H83"/>
    <mergeCell ref="G84:H84"/>
    <mergeCell ref="G85:H85"/>
    <mergeCell ref="G86:H86"/>
    <mergeCell ref="G87:H87"/>
    <mergeCell ref="G88:H88"/>
    <mergeCell ref="E78:H78"/>
    <mergeCell ref="A79:H79"/>
    <mergeCell ref="A80:A82"/>
    <mergeCell ref="B80:F80"/>
    <mergeCell ref="G80:H80"/>
    <mergeCell ref="B81:C81"/>
    <mergeCell ref="E81:F81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1:H101"/>
    <mergeCell ref="A102:H102"/>
    <mergeCell ref="A103:H103"/>
    <mergeCell ref="A104:H104"/>
    <mergeCell ref="E120:H120"/>
    <mergeCell ref="A121:A122"/>
    <mergeCell ref="B121:B122"/>
    <mergeCell ref="C121:C122"/>
    <mergeCell ref="D121:D122"/>
    <mergeCell ref="E121:H121"/>
    <mergeCell ref="G127:H127"/>
    <mergeCell ref="G128:H128"/>
    <mergeCell ref="G129:H129"/>
    <mergeCell ref="G130:H130"/>
    <mergeCell ref="G131:H131"/>
    <mergeCell ref="G132:H132"/>
    <mergeCell ref="E122:H122"/>
    <mergeCell ref="A123:H123"/>
    <mergeCell ref="A124:A126"/>
    <mergeCell ref="B124:F124"/>
    <mergeCell ref="G124:H124"/>
    <mergeCell ref="B125:C125"/>
    <mergeCell ref="E125:F125"/>
    <mergeCell ref="G125:H125"/>
    <mergeCell ref="G126:H12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45:H145"/>
    <mergeCell ref="A146:H146"/>
    <mergeCell ref="A147:H147"/>
    <mergeCell ref="A148:H148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89:H189"/>
    <mergeCell ref="A190:A191"/>
    <mergeCell ref="B190:B191"/>
    <mergeCell ref="C190:C191"/>
    <mergeCell ref="D190:D191"/>
    <mergeCell ref="E190:H190"/>
    <mergeCell ref="G196:H196"/>
    <mergeCell ref="G197:H197"/>
    <mergeCell ref="G198:H198"/>
    <mergeCell ref="G199:H199"/>
    <mergeCell ref="G200:H200"/>
    <mergeCell ref="G201:H201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95:H195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G230:H230"/>
    <mergeCell ref="G231:H231"/>
    <mergeCell ref="G232:H232"/>
    <mergeCell ref="G233:H233"/>
    <mergeCell ref="G234:H234"/>
    <mergeCell ref="G235:H235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G264:H264"/>
    <mergeCell ref="G265:H265"/>
    <mergeCell ref="G266:H266"/>
    <mergeCell ref="G267:H267"/>
    <mergeCell ref="G268:H268"/>
    <mergeCell ref="G269:H269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82:H282"/>
    <mergeCell ref="A283:H283"/>
    <mergeCell ref="A284:H284"/>
    <mergeCell ref="A285:H285"/>
    <mergeCell ref="E290:H290"/>
    <mergeCell ref="A291:A292"/>
    <mergeCell ref="B291:B292"/>
    <mergeCell ref="C291:C292"/>
    <mergeCell ref="D291:D292"/>
    <mergeCell ref="E291:H291"/>
    <mergeCell ref="G297:H297"/>
    <mergeCell ref="G298:H298"/>
    <mergeCell ref="G299:H299"/>
    <mergeCell ref="G300:H300"/>
    <mergeCell ref="G301:H301"/>
    <mergeCell ref="G302:H302"/>
    <mergeCell ref="E292:H292"/>
    <mergeCell ref="A293:H293"/>
    <mergeCell ref="A294:A296"/>
    <mergeCell ref="B294:F294"/>
    <mergeCell ref="G294:H294"/>
    <mergeCell ref="B295:C295"/>
    <mergeCell ref="E295:F295"/>
    <mergeCell ref="G295:H295"/>
    <mergeCell ref="G296:H296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315:H315"/>
    <mergeCell ref="A316:H316"/>
    <mergeCell ref="A317:H317"/>
    <mergeCell ref="A318:H318"/>
    <mergeCell ref="E323:H323"/>
    <mergeCell ref="A324:A325"/>
    <mergeCell ref="B324:B325"/>
    <mergeCell ref="C324:C325"/>
    <mergeCell ref="D324:D325"/>
    <mergeCell ref="E324:H324"/>
    <mergeCell ref="G330:H330"/>
    <mergeCell ref="G331:H331"/>
    <mergeCell ref="G332:H332"/>
    <mergeCell ref="G333:H333"/>
    <mergeCell ref="G334:H334"/>
    <mergeCell ref="G335:H335"/>
    <mergeCell ref="E325:H325"/>
    <mergeCell ref="A326:H326"/>
    <mergeCell ref="A327:A329"/>
    <mergeCell ref="B327:F327"/>
    <mergeCell ref="G327:H327"/>
    <mergeCell ref="B328:C328"/>
    <mergeCell ref="E328:F328"/>
    <mergeCell ref="G328:H328"/>
    <mergeCell ref="G329:H329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48:H348"/>
    <mergeCell ref="A349:H349"/>
    <mergeCell ref="A350:H350"/>
    <mergeCell ref="A351:H351"/>
    <mergeCell ref="E358:H358"/>
    <mergeCell ref="A359:A360"/>
    <mergeCell ref="B359:B360"/>
    <mergeCell ref="C359:C360"/>
    <mergeCell ref="D359:D360"/>
    <mergeCell ref="E359:H359"/>
    <mergeCell ref="G365:H365"/>
    <mergeCell ref="G366:H366"/>
    <mergeCell ref="G367:H367"/>
    <mergeCell ref="G368:H368"/>
    <mergeCell ref="G369:H369"/>
    <mergeCell ref="G370:H370"/>
    <mergeCell ref="E360:H360"/>
    <mergeCell ref="A361:H361"/>
    <mergeCell ref="A362:A364"/>
    <mergeCell ref="B362:F362"/>
    <mergeCell ref="G362:H362"/>
    <mergeCell ref="B363:C363"/>
    <mergeCell ref="E363:F363"/>
    <mergeCell ref="G363:H363"/>
    <mergeCell ref="G364:H364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E397:H397"/>
    <mergeCell ref="E398:H398"/>
    <mergeCell ref="A399:A400"/>
    <mergeCell ref="B399:B400"/>
    <mergeCell ref="C399:C400"/>
    <mergeCell ref="D399:D400"/>
    <mergeCell ref="E399:H399"/>
    <mergeCell ref="E400:H400"/>
    <mergeCell ref="G383:H383"/>
    <mergeCell ref="A384:H384"/>
    <mergeCell ref="A385:H385"/>
    <mergeCell ref="A386:H386"/>
    <mergeCell ref="E394:H394"/>
    <mergeCell ref="A395:A397"/>
    <mergeCell ref="B395:B397"/>
    <mergeCell ref="C395:C397"/>
    <mergeCell ref="D395:D397"/>
    <mergeCell ref="E395:H395"/>
    <mergeCell ref="G405:H405"/>
    <mergeCell ref="G406:H406"/>
    <mergeCell ref="G407:H407"/>
    <mergeCell ref="G408:H408"/>
    <mergeCell ref="G409:H409"/>
    <mergeCell ref="G410:H410"/>
    <mergeCell ref="A401:H401"/>
    <mergeCell ref="A402:A404"/>
    <mergeCell ref="B402:F402"/>
    <mergeCell ref="G402:H403"/>
    <mergeCell ref="B403:C403"/>
    <mergeCell ref="E403:F403"/>
    <mergeCell ref="G404:H404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23:H423"/>
    <mergeCell ref="A424:H426"/>
    <mergeCell ref="E440:H440"/>
    <mergeCell ref="A441:A442"/>
    <mergeCell ref="B441:B442"/>
    <mergeCell ref="C441:C442"/>
    <mergeCell ref="D441:D442"/>
    <mergeCell ref="E441:H441"/>
    <mergeCell ref="E442:H442"/>
    <mergeCell ref="G447:H447"/>
    <mergeCell ref="G448:H448"/>
    <mergeCell ref="G449:H449"/>
    <mergeCell ref="G450:H450"/>
    <mergeCell ref="G451:H451"/>
    <mergeCell ref="G452:H452"/>
    <mergeCell ref="A443:H443"/>
    <mergeCell ref="A444:A446"/>
    <mergeCell ref="B444:F444"/>
    <mergeCell ref="G444:H444"/>
    <mergeCell ref="B445:C445"/>
    <mergeCell ref="E445:F445"/>
    <mergeCell ref="G445:H445"/>
    <mergeCell ref="G446:H446"/>
    <mergeCell ref="G459:H459"/>
    <mergeCell ref="G460:H460"/>
    <mergeCell ref="G461:H461"/>
    <mergeCell ref="G462:H462"/>
    <mergeCell ref="G463:H463"/>
    <mergeCell ref="G464:H464"/>
    <mergeCell ref="G453:H453"/>
    <mergeCell ref="G454:H454"/>
    <mergeCell ref="G455:H455"/>
    <mergeCell ref="G456:H456"/>
    <mergeCell ref="G457:H457"/>
    <mergeCell ref="G458:H458"/>
    <mergeCell ref="G465:H465"/>
    <mergeCell ref="A466:H466"/>
    <mergeCell ref="A467:H467"/>
    <mergeCell ref="A468:H468"/>
    <mergeCell ref="E474:H474"/>
    <mergeCell ref="A475:A476"/>
    <mergeCell ref="B475:B476"/>
    <mergeCell ref="C475:C476"/>
    <mergeCell ref="D475:D476"/>
    <mergeCell ref="E475:H475"/>
    <mergeCell ref="G481:H481"/>
    <mergeCell ref="G482:H482"/>
    <mergeCell ref="G483:H483"/>
    <mergeCell ref="G484:H484"/>
    <mergeCell ref="G485:H485"/>
    <mergeCell ref="G486:H486"/>
    <mergeCell ref="E476:H476"/>
    <mergeCell ref="A477:H477"/>
    <mergeCell ref="A478:A480"/>
    <mergeCell ref="B478:F478"/>
    <mergeCell ref="G478:H478"/>
    <mergeCell ref="B479:C479"/>
    <mergeCell ref="E479:F479"/>
    <mergeCell ref="G479:H479"/>
    <mergeCell ref="G480:H480"/>
    <mergeCell ref="G493:H493"/>
    <mergeCell ref="G494:H494"/>
    <mergeCell ref="G495:H495"/>
    <mergeCell ref="G496:H496"/>
    <mergeCell ref="G497:H497"/>
    <mergeCell ref="G498:H498"/>
    <mergeCell ref="G487:H487"/>
    <mergeCell ref="G488:H488"/>
    <mergeCell ref="G489:H489"/>
    <mergeCell ref="G490:H490"/>
    <mergeCell ref="G491:H491"/>
    <mergeCell ref="G492:H492"/>
    <mergeCell ref="G499:H499"/>
    <mergeCell ref="A500:H500"/>
    <mergeCell ref="A501:H501"/>
    <mergeCell ref="A502:H502"/>
    <mergeCell ref="E508:H508"/>
    <mergeCell ref="A509:A510"/>
    <mergeCell ref="B509:B510"/>
    <mergeCell ref="C509:C510"/>
    <mergeCell ref="D509:D510"/>
    <mergeCell ref="E509:H509"/>
    <mergeCell ref="G515:H515"/>
    <mergeCell ref="G516:H516"/>
    <mergeCell ref="G517:H517"/>
    <mergeCell ref="G518:H518"/>
    <mergeCell ref="G519:H519"/>
    <mergeCell ref="G520:H520"/>
    <mergeCell ref="E510:H510"/>
    <mergeCell ref="A511:H511"/>
    <mergeCell ref="A512:A514"/>
    <mergeCell ref="B512:F512"/>
    <mergeCell ref="G512:H512"/>
    <mergeCell ref="B513:C513"/>
    <mergeCell ref="E513:F513"/>
    <mergeCell ref="G513:H513"/>
    <mergeCell ref="G514:H514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33:H533"/>
    <mergeCell ref="A534:H534"/>
    <mergeCell ref="A535:H535"/>
    <mergeCell ref="A536:H536"/>
    <mergeCell ref="E550:H550"/>
    <mergeCell ref="A551:A552"/>
    <mergeCell ref="B551:B552"/>
    <mergeCell ref="C551:C552"/>
    <mergeCell ref="D551:D552"/>
    <mergeCell ref="E551:H551"/>
    <mergeCell ref="G557:H557"/>
    <mergeCell ref="G558:H558"/>
    <mergeCell ref="G559:H559"/>
    <mergeCell ref="G560:H560"/>
    <mergeCell ref="G561:H561"/>
    <mergeCell ref="G562:H562"/>
    <mergeCell ref="E552:H552"/>
    <mergeCell ref="A553:H553"/>
    <mergeCell ref="A554:A556"/>
    <mergeCell ref="B554:F554"/>
    <mergeCell ref="G554:H554"/>
    <mergeCell ref="B555:C555"/>
    <mergeCell ref="E555:F555"/>
    <mergeCell ref="G555:H555"/>
    <mergeCell ref="G556:H556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75:H575"/>
    <mergeCell ref="A576:H576"/>
    <mergeCell ref="A577:H577"/>
    <mergeCell ref="A578:H578"/>
    <mergeCell ref="E585:H585"/>
    <mergeCell ref="A586:A587"/>
    <mergeCell ref="B586:B587"/>
    <mergeCell ref="C586:C587"/>
    <mergeCell ref="D586:D587"/>
    <mergeCell ref="E586:H586"/>
    <mergeCell ref="G592:H592"/>
    <mergeCell ref="G593:H593"/>
    <mergeCell ref="G594:H594"/>
    <mergeCell ref="G595:H595"/>
    <mergeCell ref="G596:H596"/>
    <mergeCell ref="G597:H597"/>
    <mergeCell ref="E587:H587"/>
    <mergeCell ref="A588:H588"/>
    <mergeCell ref="A589:A591"/>
    <mergeCell ref="B589:F589"/>
    <mergeCell ref="G589:H589"/>
    <mergeCell ref="B590:C590"/>
    <mergeCell ref="E590:F590"/>
    <mergeCell ref="G590:H590"/>
    <mergeCell ref="G591:H591"/>
    <mergeCell ref="G604:H604"/>
    <mergeCell ref="G605:H605"/>
    <mergeCell ref="G606:H606"/>
    <mergeCell ref="G607:H607"/>
    <mergeCell ref="G608:H608"/>
    <mergeCell ref="G609:H609"/>
    <mergeCell ref="G598:H598"/>
    <mergeCell ref="G599:H599"/>
    <mergeCell ref="G600:H600"/>
    <mergeCell ref="G601:H601"/>
    <mergeCell ref="G602:H602"/>
    <mergeCell ref="G603:H603"/>
    <mergeCell ref="G610:H610"/>
    <mergeCell ref="A611:H611"/>
    <mergeCell ref="A612:H612"/>
    <mergeCell ref="A613:H613"/>
    <mergeCell ref="E621:H621"/>
    <mergeCell ref="A622:A623"/>
    <mergeCell ref="B622:B623"/>
    <mergeCell ref="C622:C623"/>
    <mergeCell ref="D622:D623"/>
    <mergeCell ref="E622:H622"/>
    <mergeCell ref="G628:H628"/>
    <mergeCell ref="G629:H629"/>
    <mergeCell ref="G630:H630"/>
    <mergeCell ref="G631:H631"/>
    <mergeCell ref="G632:H632"/>
    <mergeCell ref="G633:H633"/>
    <mergeCell ref="E623:H623"/>
    <mergeCell ref="A624:H624"/>
    <mergeCell ref="A625:A627"/>
    <mergeCell ref="B625:F625"/>
    <mergeCell ref="G625:H625"/>
    <mergeCell ref="B626:C626"/>
    <mergeCell ref="E626:F626"/>
    <mergeCell ref="G626:H626"/>
    <mergeCell ref="G627:H627"/>
    <mergeCell ref="G640:H640"/>
    <mergeCell ref="G641:H641"/>
    <mergeCell ref="G642:H642"/>
    <mergeCell ref="G643:H643"/>
    <mergeCell ref="G644:H644"/>
    <mergeCell ref="G645:H645"/>
    <mergeCell ref="G634:H634"/>
    <mergeCell ref="G635:H635"/>
    <mergeCell ref="G636:H636"/>
    <mergeCell ref="G637:H637"/>
    <mergeCell ref="G638:H638"/>
    <mergeCell ref="G639:H639"/>
    <mergeCell ref="G646:H646"/>
    <mergeCell ref="A647:H647"/>
    <mergeCell ref="A648:H648"/>
    <mergeCell ref="A649:H649"/>
    <mergeCell ref="E663:H663"/>
    <mergeCell ref="A664:A665"/>
    <mergeCell ref="B664:B665"/>
    <mergeCell ref="C664:C665"/>
    <mergeCell ref="D664:D665"/>
    <mergeCell ref="E664:H664"/>
    <mergeCell ref="E665:H665"/>
    <mergeCell ref="A666:H666"/>
    <mergeCell ref="A667:A669"/>
    <mergeCell ref="B667:F667"/>
    <mergeCell ref="G667:H667"/>
    <mergeCell ref="B668:C668"/>
    <mergeCell ref="E668:F668"/>
    <mergeCell ref="G668:H668"/>
    <mergeCell ref="G669:H669"/>
    <mergeCell ref="G676:H676"/>
    <mergeCell ref="G677:H677"/>
    <mergeCell ref="G678:H678"/>
    <mergeCell ref="G679:H679"/>
    <mergeCell ref="G680:H680"/>
    <mergeCell ref="G681:H681"/>
    <mergeCell ref="G670:H670"/>
    <mergeCell ref="G671:H671"/>
    <mergeCell ref="G672:H672"/>
    <mergeCell ref="G673:H673"/>
    <mergeCell ref="G674:H674"/>
    <mergeCell ref="G675:H675"/>
    <mergeCell ref="G688:H688"/>
    <mergeCell ref="A689:H689"/>
    <mergeCell ref="A690:H690"/>
    <mergeCell ref="A691:H691"/>
    <mergeCell ref="G682:H682"/>
    <mergeCell ref="G683:H683"/>
    <mergeCell ref="G684:H684"/>
    <mergeCell ref="G685:H685"/>
    <mergeCell ref="G686:H686"/>
    <mergeCell ref="G687:H687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ЧОУ 2025</vt:lpstr>
      <vt:lpstr>ЧЕГ2025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2026-01-28T08:17:59Z</dcterms:modified>
</cp:coreProperties>
</file>