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9810" tabRatio="363" firstSheet="7" activeTab="8"/>
  </bookViews>
  <sheets>
    <sheet name="ЧОУ 2021" sheetId="14" r:id="rId1"/>
    <sheet name="ЧОУ 2022" sheetId="15" r:id="rId2"/>
    <sheet name="ЧОУ 2023" sheetId="16" r:id="rId3"/>
    <sheet name="ЧЕГ 2021" sheetId="20" r:id="rId4"/>
    <sheet name="ЧЕГ 2022" sheetId="17" r:id="rId5"/>
    <sheet name="ЧЕГ 2023" sheetId="18" r:id="rId6"/>
    <sheet name="ЧОУ 2024" sheetId="19" r:id="rId7"/>
    <sheet name="ЧЕГ2024" sheetId="21" r:id="rId8"/>
    <sheet name="ЧОУ 2025" sheetId="22" r:id="rId9"/>
    <sheet name="ЧЕГ2025" sheetId="23" r:id="rId10"/>
  </sheets>
  <calcPr calcId="162913"/>
</workbook>
</file>

<file path=xl/calcChain.xml><?xml version="1.0" encoding="utf-8"?>
<calcChain xmlns="http://schemas.openxmlformats.org/spreadsheetml/2006/main">
  <c r="G436" i="22" l="1"/>
  <c r="G427" i="22"/>
  <c r="G426" i="22"/>
  <c r="G423" i="22"/>
  <c r="G437" i="22"/>
  <c r="G381" i="22"/>
  <c r="G395" i="22"/>
  <c r="G394" i="22"/>
  <c r="G385" i="22"/>
  <c r="G384" i="22"/>
  <c r="G412" i="23"/>
  <c r="G420" i="23"/>
  <c r="G410" i="23"/>
  <c r="G409" i="23"/>
  <c r="G406" i="23"/>
  <c r="G380" i="23"/>
  <c r="E378" i="23"/>
  <c r="G370" i="23"/>
  <c r="G369" i="23"/>
  <c r="G366" i="23"/>
  <c r="G345" i="22" l="1"/>
  <c r="G351" i="22"/>
  <c r="G358" i="22"/>
  <c r="G348" i="22"/>
  <c r="G349" i="22"/>
  <c r="G320" i="22"/>
  <c r="G313" i="22"/>
  <c r="G311" i="22"/>
  <c r="G310" i="22"/>
  <c r="G307" i="22"/>
  <c r="G250" i="22"/>
  <c r="G242" i="22"/>
  <c r="G279" i="22"/>
  <c r="G286" i="22"/>
  <c r="G287" i="22"/>
  <c r="G276" i="22"/>
  <c r="G277" i="22"/>
  <c r="G273" i="22"/>
  <c r="G249" i="22"/>
  <c r="G240" i="22"/>
  <c r="G236" i="22"/>
  <c r="G239" i="22"/>
  <c r="G345" i="23" l="1"/>
  <c r="G344" i="23"/>
  <c r="G334" i="23"/>
  <c r="G337" i="23"/>
  <c r="G298" i="23"/>
  <c r="G302" i="23"/>
  <c r="G335" i="23"/>
  <c r="G331" i="23"/>
  <c r="G312" i="23"/>
  <c r="G311" i="23"/>
  <c r="G304" i="23"/>
  <c r="G301" i="23"/>
  <c r="G265" i="23"/>
  <c r="G279" i="23"/>
  <c r="G278" i="23"/>
  <c r="G271" i="23"/>
  <c r="G269" i="23"/>
  <c r="G268" i="23"/>
  <c r="G244" i="23"/>
  <c r="G235" i="23"/>
  <c r="G234" i="23"/>
  <c r="G231" i="23"/>
  <c r="G245" i="23"/>
  <c r="G237" i="23"/>
  <c r="G213" i="22" l="1"/>
  <c r="G212" i="22"/>
  <c r="B212" i="22" s="1"/>
  <c r="D212" i="22" s="1"/>
  <c r="G203" i="22"/>
  <c r="G202" i="22"/>
  <c r="B202" i="22" s="1"/>
  <c r="G199" i="22"/>
  <c r="G167" i="22"/>
  <c r="B167" i="22" s="1"/>
  <c r="G163" i="22"/>
  <c r="G166" i="22"/>
  <c r="G177" i="22"/>
  <c r="B177" i="22" s="1"/>
  <c r="D177" i="22" s="1"/>
  <c r="G176" i="22"/>
  <c r="B176" i="22" s="1"/>
  <c r="D176" i="22" s="1"/>
  <c r="G138" i="22"/>
  <c r="G137" i="22"/>
  <c r="B137" i="22" s="1"/>
  <c r="D137" i="22" s="1"/>
  <c r="G128" i="22"/>
  <c r="G124" i="22"/>
  <c r="G127" i="22"/>
  <c r="G99" i="22"/>
  <c r="B99" i="22" s="1"/>
  <c r="D99" i="22" s="1"/>
  <c r="G98" i="22"/>
  <c r="G89" i="22"/>
  <c r="G88" i="22"/>
  <c r="G85" i="22"/>
  <c r="G53" i="22"/>
  <c r="G49" i="22"/>
  <c r="G63" i="22"/>
  <c r="B63" i="22" s="1"/>
  <c r="D63" i="22" s="1"/>
  <c r="G62" i="22"/>
  <c r="G52" i="22"/>
  <c r="G25" i="22"/>
  <c r="G14" i="22"/>
  <c r="B14" i="22" s="1"/>
  <c r="D14" i="22" s="1"/>
  <c r="G15" i="22"/>
  <c r="G11" i="22"/>
  <c r="G211" i="23"/>
  <c r="G210" i="23"/>
  <c r="G202" i="23"/>
  <c r="G203" i="23" s="1"/>
  <c r="G201" i="23"/>
  <c r="B201" i="23" s="1"/>
  <c r="G197" i="23"/>
  <c r="G198" i="23" s="1"/>
  <c r="G200" i="23"/>
  <c r="B200" i="23" s="1"/>
  <c r="D200" i="23" s="1"/>
  <c r="G177" i="23"/>
  <c r="G176" i="23"/>
  <c r="G167" i="23"/>
  <c r="G166" i="23"/>
  <c r="B166" i="23" s="1"/>
  <c r="D166" i="23" s="1"/>
  <c r="G163" i="23"/>
  <c r="G168" i="23"/>
  <c r="G169" i="23" s="1"/>
  <c r="G142" i="23"/>
  <c r="B142" i="23" s="1"/>
  <c r="G141" i="23"/>
  <c r="G133" i="23"/>
  <c r="G134" i="23" s="1"/>
  <c r="B134" i="23" s="1"/>
  <c r="G131" i="23"/>
  <c r="B131" i="23" s="1"/>
  <c r="G132" i="23"/>
  <c r="B132" i="23" s="1"/>
  <c r="D132" i="23" s="1"/>
  <c r="G128" i="23"/>
  <c r="G98" i="23"/>
  <c r="G97" i="23"/>
  <c r="G90" i="23"/>
  <c r="G88" i="23"/>
  <c r="B88" i="23" s="1"/>
  <c r="D88" i="23" s="1"/>
  <c r="G87" i="23"/>
  <c r="B87" i="23" s="1"/>
  <c r="D87" i="23" s="1"/>
  <c r="G84" i="23"/>
  <c r="G85" i="23" s="1"/>
  <c r="G60" i="23"/>
  <c r="G52" i="23"/>
  <c r="G46" i="23"/>
  <c r="G50" i="23"/>
  <c r="B50" i="23" s="1"/>
  <c r="D50" i="23" s="1"/>
  <c r="G49" i="23"/>
  <c r="B49" i="23" s="1"/>
  <c r="G24" i="23"/>
  <c r="G23" i="23"/>
  <c r="G16" i="23"/>
  <c r="B16" i="23" s="1"/>
  <c r="D16" i="23" s="1"/>
  <c r="B687" i="23"/>
  <c r="G685" i="23"/>
  <c r="B685" i="23" s="1"/>
  <c r="D685" i="23" s="1"/>
  <c r="G684" i="23"/>
  <c r="B684" i="23" s="1"/>
  <c r="E683" i="23"/>
  <c r="E680" i="23"/>
  <c r="B680" i="23"/>
  <c r="G677" i="23"/>
  <c r="B677" i="23"/>
  <c r="B676" i="23"/>
  <c r="D676" i="23" s="1"/>
  <c r="B675" i="23"/>
  <c r="D675" i="23" s="1"/>
  <c r="G674" i="23"/>
  <c r="B674" i="23" s="1"/>
  <c r="D674" i="23" s="1"/>
  <c r="G671" i="23"/>
  <c r="K567" i="23" s="1"/>
  <c r="K568" i="23" s="1"/>
  <c r="B645" i="23"/>
  <c r="G643" i="23"/>
  <c r="B643" i="23"/>
  <c r="D643" i="23" s="1"/>
  <c r="G642" i="23"/>
  <c r="B642" i="23" s="1"/>
  <c r="B641" i="23"/>
  <c r="E641" i="23" s="1"/>
  <c r="K638" i="23"/>
  <c r="K639" i="23" s="1"/>
  <c r="B638" i="23"/>
  <c r="E638" i="23" s="1"/>
  <c r="G635" i="23"/>
  <c r="B634" i="23"/>
  <c r="D634" i="23" s="1"/>
  <c r="G633" i="23"/>
  <c r="B633" i="23" s="1"/>
  <c r="D633" i="23" s="1"/>
  <c r="G632" i="23"/>
  <c r="G629" i="23"/>
  <c r="G630" i="23" s="1"/>
  <c r="B609" i="23"/>
  <c r="G607" i="23"/>
  <c r="G606" i="23"/>
  <c r="B606" i="23" s="1"/>
  <c r="B605" i="23"/>
  <c r="E605" i="23" s="1"/>
  <c r="K602" i="23"/>
  <c r="K603" i="23" s="1"/>
  <c r="B602" i="23"/>
  <c r="E602" i="23" s="1"/>
  <c r="E610" i="23" s="1"/>
  <c r="G599" i="23"/>
  <c r="B598" i="23"/>
  <c r="D598" i="23" s="1"/>
  <c r="G597" i="23"/>
  <c r="B597" i="23" s="1"/>
  <c r="G596" i="23"/>
  <c r="G593" i="23"/>
  <c r="G594" i="23" s="1"/>
  <c r="B574" i="23"/>
  <c r="G572" i="23"/>
  <c r="G571" i="23"/>
  <c r="B571" i="23" s="1"/>
  <c r="B570" i="23"/>
  <c r="E570" i="23" s="1"/>
  <c r="B567" i="23"/>
  <c r="E567" i="23" s="1"/>
  <c r="G564" i="23"/>
  <c r="B563" i="23"/>
  <c r="D563" i="23" s="1"/>
  <c r="G562" i="23"/>
  <c r="G561" i="23"/>
  <c r="G558" i="23"/>
  <c r="K66" i="23" s="1"/>
  <c r="K67" i="23" s="1"/>
  <c r="K536" i="23"/>
  <c r="K537" i="23" s="1"/>
  <c r="G530" i="23"/>
  <c r="G529" i="23"/>
  <c r="B529" i="23" s="1"/>
  <c r="B525" i="23"/>
  <c r="E525" i="23" s="1"/>
  <c r="E533" i="23" s="1"/>
  <c r="G522" i="23"/>
  <c r="B521" i="23"/>
  <c r="D521" i="23" s="1"/>
  <c r="G520" i="23"/>
  <c r="B520" i="23" s="1"/>
  <c r="D520" i="23" s="1"/>
  <c r="G519" i="23"/>
  <c r="B519" i="23"/>
  <c r="G516" i="23"/>
  <c r="G517" i="23" s="1"/>
  <c r="K502" i="23"/>
  <c r="K503" i="23" s="1"/>
  <c r="G496" i="23"/>
  <c r="B496" i="23"/>
  <c r="G495" i="23"/>
  <c r="B491" i="23"/>
  <c r="E491" i="23" s="1"/>
  <c r="E499" i="23" s="1"/>
  <c r="G488" i="23"/>
  <c r="B488" i="23"/>
  <c r="D487" i="23"/>
  <c r="B487" i="23"/>
  <c r="G486" i="23"/>
  <c r="B486" i="23" s="1"/>
  <c r="G485" i="23"/>
  <c r="B483" i="23"/>
  <c r="B482" i="23" s="1"/>
  <c r="G482" i="23"/>
  <c r="G483" i="23" s="1"/>
  <c r="K468" i="23"/>
  <c r="K469" i="23" s="1"/>
  <c r="G462" i="23"/>
  <c r="B462" i="23" s="1"/>
  <c r="D462" i="23" s="1"/>
  <c r="G461" i="23"/>
  <c r="B461" i="23" s="1"/>
  <c r="B457" i="23"/>
  <c r="E457" i="23" s="1"/>
  <c r="E465" i="23" s="1"/>
  <c r="G454" i="23"/>
  <c r="B453" i="23"/>
  <c r="D453" i="23" s="1"/>
  <c r="G452" i="23"/>
  <c r="B452" i="23" s="1"/>
  <c r="G451" i="23"/>
  <c r="B451" i="23" s="1"/>
  <c r="D451" i="23" s="1"/>
  <c r="G448" i="23"/>
  <c r="G449" i="23" s="1"/>
  <c r="K427" i="23"/>
  <c r="B420" i="23"/>
  <c r="J419" i="23"/>
  <c r="B419" i="23"/>
  <c r="E418" i="23"/>
  <c r="E423" i="23" s="1"/>
  <c r="J412" i="23"/>
  <c r="B411" i="23"/>
  <c r="D411" i="23" s="1"/>
  <c r="G407" i="23"/>
  <c r="K386" i="23"/>
  <c r="K387" i="23" s="1"/>
  <c r="B380" i="23"/>
  <c r="J379" i="23"/>
  <c r="B379" i="23"/>
  <c r="B375" i="23"/>
  <c r="E375" i="23" s="1"/>
  <c r="E383" i="23" s="1"/>
  <c r="B370" i="23"/>
  <c r="B369" i="23"/>
  <c r="G367" i="23"/>
  <c r="K351" i="23"/>
  <c r="K352" i="23" s="1"/>
  <c r="B345" i="23"/>
  <c r="D345" i="23" s="1"/>
  <c r="J344" i="23"/>
  <c r="B344" i="23"/>
  <c r="D344" i="23" s="1"/>
  <c r="E343" i="23"/>
  <c r="B340" i="23"/>
  <c r="E340" i="23" s="1"/>
  <c r="E348" i="23" s="1"/>
  <c r="B335" i="23"/>
  <c r="D335" i="23" s="1"/>
  <c r="B334" i="23"/>
  <c r="D334" i="23" s="1"/>
  <c r="G332" i="23"/>
  <c r="B332" i="23" s="1"/>
  <c r="K318" i="23"/>
  <c r="K319" i="23" s="1"/>
  <c r="B312" i="23"/>
  <c r="B311" i="23"/>
  <c r="E310" i="23"/>
  <c r="B307" i="23"/>
  <c r="E307" i="23" s="1"/>
  <c r="E315" i="23" s="1"/>
  <c r="B302" i="23"/>
  <c r="B301" i="23"/>
  <c r="G299" i="23"/>
  <c r="K285" i="23"/>
  <c r="K286" i="23" s="1"/>
  <c r="B279" i="23"/>
  <c r="D279" i="23" s="1"/>
  <c r="E277" i="23"/>
  <c r="B274" i="23"/>
  <c r="E274" i="23" s="1"/>
  <c r="B271" i="23"/>
  <c r="B269" i="23"/>
  <c r="G266" i="23"/>
  <c r="B266" i="23" s="1"/>
  <c r="K251" i="23"/>
  <c r="K252" i="23" s="1"/>
  <c r="E243" i="23"/>
  <c r="B240" i="23"/>
  <c r="E240" i="23" s="1"/>
  <c r="B234" i="23"/>
  <c r="G232" i="23"/>
  <c r="B232" i="23" s="1"/>
  <c r="B206" i="23"/>
  <c r="E206" i="23" s="1"/>
  <c r="E214" i="23" s="1"/>
  <c r="B211" i="23"/>
  <c r="B172" i="23"/>
  <c r="E172" i="23" s="1"/>
  <c r="E180" i="23" s="1"/>
  <c r="G164" i="23"/>
  <c r="B164" i="23" s="1"/>
  <c r="B163" i="23" s="1"/>
  <c r="B141" i="23"/>
  <c r="B137" i="23"/>
  <c r="E137" i="23" s="1"/>
  <c r="E145" i="23" s="1"/>
  <c r="G129" i="23"/>
  <c r="B129" i="23" s="1"/>
  <c r="B128" i="23" s="1"/>
  <c r="B98" i="23"/>
  <c r="B97" i="23"/>
  <c r="B93" i="23"/>
  <c r="E93" i="23" s="1"/>
  <c r="E101" i="23" s="1"/>
  <c r="B89" i="23"/>
  <c r="D89" i="23" s="1"/>
  <c r="B59" i="23"/>
  <c r="D59" i="23" s="1"/>
  <c r="B55" i="23"/>
  <c r="E55" i="23" s="1"/>
  <c r="E63" i="23" s="1"/>
  <c r="B52" i="23"/>
  <c r="D52" i="23" s="1"/>
  <c r="B51" i="23"/>
  <c r="D51" i="23" s="1"/>
  <c r="G47" i="23"/>
  <c r="B24" i="23"/>
  <c r="D24" i="23" s="1"/>
  <c r="B23" i="23"/>
  <c r="D23" i="23" s="1"/>
  <c r="B19" i="23"/>
  <c r="E19" i="23" s="1"/>
  <c r="E27" i="23" s="1"/>
  <c r="B15" i="23"/>
  <c r="D15" i="23" s="1"/>
  <c r="B13" i="23"/>
  <c r="D13" i="23" s="1"/>
  <c r="G11" i="23"/>
  <c r="B11" i="23" s="1"/>
  <c r="B692" i="22"/>
  <c r="G690" i="22"/>
  <c r="B690" i="22" s="1"/>
  <c r="G689" i="22"/>
  <c r="B689" i="22" s="1"/>
  <c r="D689" i="22" s="1"/>
  <c r="B688" i="22"/>
  <c r="E688" i="22" s="1"/>
  <c r="B685" i="22"/>
  <c r="E685" i="22" s="1"/>
  <c r="B682" i="22"/>
  <c r="D682" i="22" s="1"/>
  <c r="B681" i="22"/>
  <c r="D681" i="22" s="1"/>
  <c r="G680" i="22"/>
  <c r="B680" i="22"/>
  <c r="G679" i="22"/>
  <c r="B679" i="22" s="1"/>
  <c r="D679" i="22" s="1"/>
  <c r="G676" i="22"/>
  <c r="B653" i="22"/>
  <c r="G651" i="22"/>
  <c r="B651" i="22" s="1"/>
  <c r="D651" i="22" s="1"/>
  <c r="G650" i="22"/>
  <c r="B649" i="22"/>
  <c r="E649" i="22" s="1"/>
  <c r="B646" i="22"/>
  <c r="E646" i="22" s="1"/>
  <c r="E654" i="22" s="1"/>
  <c r="D643" i="22"/>
  <c r="B643" i="22"/>
  <c r="B642" i="22"/>
  <c r="D642" i="22" s="1"/>
  <c r="G641" i="22"/>
  <c r="G640" i="22"/>
  <c r="B640" i="22" s="1"/>
  <c r="D640" i="22" s="1"/>
  <c r="G637" i="22"/>
  <c r="B617" i="22"/>
  <c r="G615" i="22"/>
  <c r="G614" i="22"/>
  <c r="B614" i="22" s="1"/>
  <c r="D614" i="22" s="1"/>
  <c r="B613" i="22"/>
  <c r="E613" i="22" s="1"/>
  <c r="B610" i="22"/>
  <c r="E610" i="22" s="1"/>
  <c r="B607" i="22"/>
  <c r="D607" i="22" s="1"/>
  <c r="B606" i="22"/>
  <c r="D606" i="22" s="1"/>
  <c r="G605" i="22"/>
  <c r="G604" i="22"/>
  <c r="B604" i="22" s="1"/>
  <c r="D604" i="22" s="1"/>
  <c r="G601" i="22"/>
  <c r="G602" i="22" s="1"/>
  <c r="B583" i="22"/>
  <c r="G581" i="22"/>
  <c r="G580" i="22"/>
  <c r="B580" i="22" s="1"/>
  <c r="D580" i="22" s="1"/>
  <c r="B579" i="22"/>
  <c r="E579" i="22" s="1"/>
  <c r="B576" i="22"/>
  <c r="E576" i="22" s="1"/>
  <c r="B573" i="22"/>
  <c r="D573" i="22" s="1"/>
  <c r="B572" i="22"/>
  <c r="D572" i="22" s="1"/>
  <c r="G571" i="22"/>
  <c r="G570" i="22"/>
  <c r="G567" i="22"/>
  <c r="G568" i="22" s="1"/>
  <c r="G584" i="22" s="1"/>
  <c r="B547" i="22"/>
  <c r="G545" i="22"/>
  <c r="B545" i="22" s="1"/>
  <c r="G544" i="22"/>
  <c r="B544" i="22" s="1"/>
  <c r="D544" i="22" s="1"/>
  <c r="B543" i="22"/>
  <c r="E543" i="22" s="1"/>
  <c r="B540" i="22"/>
  <c r="E540" i="22" s="1"/>
  <c r="B537" i="22"/>
  <c r="D537" i="22" s="1"/>
  <c r="B536" i="22"/>
  <c r="D536" i="22" s="1"/>
  <c r="G535" i="22"/>
  <c r="G534" i="22"/>
  <c r="B534" i="22" s="1"/>
  <c r="G531" i="22"/>
  <c r="G532" i="22" s="1"/>
  <c r="B512" i="22"/>
  <c r="G510" i="22"/>
  <c r="B510" i="22"/>
  <c r="G509" i="22"/>
  <c r="B509" i="22" s="1"/>
  <c r="D509" i="22" s="1"/>
  <c r="B508" i="22"/>
  <c r="E508" i="22" s="1"/>
  <c r="B505" i="22"/>
  <c r="E505" i="22" s="1"/>
  <c r="B502" i="22"/>
  <c r="D502" i="22" s="1"/>
  <c r="B501" i="22"/>
  <c r="D501" i="22" s="1"/>
  <c r="G500" i="22"/>
  <c r="G499" i="22"/>
  <c r="G496" i="22"/>
  <c r="G497" i="22" s="1"/>
  <c r="B478" i="22"/>
  <c r="G476" i="22"/>
  <c r="B476" i="22" s="1"/>
  <c r="G475" i="22"/>
  <c r="B475" i="22" s="1"/>
  <c r="D475" i="22" s="1"/>
  <c r="B474" i="22"/>
  <c r="E474" i="22" s="1"/>
  <c r="B471" i="22"/>
  <c r="E471" i="22" s="1"/>
  <c r="B468" i="22"/>
  <c r="D468" i="22" s="1"/>
  <c r="B467" i="22"/>
  <c r="D467" i="22" s="1"/>
  <c r="G466" i="22"/>
  <c r="G465" i="22"/>
  <c r="G462" i="22"/>
  <c r="G463" i="22" s="1"/>
  <c r="B439" i="22"/>
  <c r="B437" i="22"/>
  <c r="D437" i="22" s="1"/>
  <c r="B436" i="22"/>
  <c r="D436" i="22" s="1"/>
  <c r="E435" i="22"/>
  <c r="E432" i="22"/>
  <c r="E431" i="22"/>
  <c r="B429" i="22"/>
  <c r="D429" i="22" s="1"/>
  <c r="B428" i="22"/>
  <c r="D428" i="22" s="1"/>
  <c r="B427" i="22"/>
  <c r="B426" i="22"/>
  <c r="D426" i="22" s="1"/>
  <c r="G424" i="22"/>
  <c r="B397" i="22"/>
  <c r="B395" i="22"/>
  <c r="D395" i="22" s="1"/>
  <c r="E393" i="22"/>
  <c r="B390" i="22"/>
  <c r="E390" i="22" s="1"/>
  <c r="E389" i="22"/>
  <c r="B387" i="22"/>
  <c r="D387" i="22" s="1"/>
  <c r="B386" i="22"/>
  <c r="D386" i="22" s="1"/>
  <c r="B384" i="22"/>
  <c r="D384" i="22" s="1"/>
  <c r="G382" i="22"/>
  <c r="G398" i="22" s="1"/>
  <c r="B361" i="22"/>
  <c r="B359" i="22"/>
  <c r="D359" i="22" s="1"/>
  <c r="E357" i="22"/>
  <c r="B354" i="22"/>
  <c r="E354" i="22" s="1"/>
  <c r="E353" i="22"/>
  <c r="B351" i="22"/>
  <c r="D351" i="22" s="1"/>
  <c r="B350" i="22"/>
  <c r="D350" i="22" s="1"/>
  <c r="B349" i="22"/>
  <c r="B348" i="22"/>
  <c r="D348" i="22" s="1"/>
  <c r="G346" i="22"/>
  <c r="B323" i="22"/>
  <c r="B321" i="22"/>
  <c r="D321" i="22" s="1"/>
  <c r="B316" i="22"/>
  <c r="E316" i="22" s="1"/>
  <c r="E315" i="22"/>
  <c r="B313" i="22"/>
  <c r="D313" i="22" s="1"/>
  <c r="B312" i="22"/>
  <c r="D312" i="22" s="1"/>
  <c r="J313" i="22"/>
  <c r="G308" i="22"/>
  <c r="B289" i="22"/>
  <c r="B287" i="22"/>
  <c r="D287" i="22" s="1"/>
  <c r="B286" i="22"/>
  <c r="D286" i="22" s="1"/>
  <c r="B282" i="22"/>
  <c r="E282" i="22" s="1"/>
  <c r="E281" i="22"/>
  <c r="B279" i="22"/>
  <c r="D279" i="22" s="1"/>
  <c r="B278" i="22"/>
  <c r="D278" i="22" s="1"/>
  <c r="B276" i="22"/>
  <c r="D276" i="22" s="1"/>
  <c r="G274" i="22"/>
  <c r="B252" i="22"/>
  <c r="B250" i="22"/>
  <c r="D250" i="22" s="1"/>
  <c r="B245" i="22"/>
  <c r="E245" i="22" s="1"/>
  <c r="E244" i="22"/>
  <c r="B242" i="22"/>
  <c r="D242" i="22" s="1"/>
  <c r="B241" i="22"/>
  <c r="D241" i="22" s="1"/>
  <c r="B239" i="22"/>
  <c r="D239" i="22" s="1"/>
  <c r="G237" i="22"/>
  <c r="B215" i="22"/>
  <c r="B213" i="22"/>
  <c r="D213" i="22" s="1"/>
  <c r="B211" i="22"/>
  <c r="B208" i="22"/>
  <c r="E208" i="22" s="1"/>
  <c r="E216" i="22" s="1"/>
  <c r="B204" i="22"/>
  <c r="D204" i="22" s="1"/>
  <c r="B203" i="22"/>
  <c r="D203" i="22" s="1"/>
  <c r="G200" i="22"/>
  <c r="B200" i="22" s="1"/>
  <c r="B199" i="22" s="1"/>
  <c r="B179" i="22"/>
  <c r="B175" i="22"/>
  <c r="E175" i="22" s="1"/>
  <c r="E172" i="22"/>
  <c r="B172" i="22"/>
  <c r="B169" i="22"/>
  <c r="D169" i="22" s="1"/>
  <c r="D168" i="22"/>
  <c r="B168" i="22"/>
  <c r="G164" i="22"/>
  <c r="B164" i="22" s="1"/>
  <c r="B140" i="22"/>
  <c r="B136" i="22"/>
  <c r="E136" i="22" s="1"/>
  <c r="B133" i="22"/>
  <c r="E133" i="22" s="1"/>
  <c r="B130" i="22"/>
  <c r="D130" i="22" s="1"/>
  <c r="B129" i="22"/>
  <c r="D129" i="22" s="1"/>
  <c r="I128" i="22"/>
  <c r="B128" i="22"/>
  <c r="B127" i="22"/>
  <c r="D127" i="22" s="1"/>
  <c r="G125" i="22"/>
  <c r="B101" i="22"/>
  <c r="B98" i="22"/>
  <c r="D98" i="22" s="1"/>
  <c r="B97" i="22"/>
  <c r="E97" i="22" s="1"/>
  <c r="E94" i="22"/>
  <c r="B94" i="22"/>
  <c r="B91" i="22"/>
  <c r="D91" i="22" s="1"/>
  <c r="B90" i="22"/>
  <c r="D90" i="22" s="1"/>
  <c r="B89" i="22"/>
  <c r="D89" i="22" s="1"/>
  <c r="B88" i="22"/>
  <c r="D88" i="22" s="1"/>
  <c r="G86" i="22"/>
  <c r="B65" i="22"/>
  <c r="B62" i="22"/>
  <c r="D62" i="22" s="1"/>
  <c r="B61" i="22"/>
  <c r="E61" i="22" s="1"/>
  <c r="B58" i="22"/>
  <c r="E58" i="22" s="1"/>
  <c r="B55" i="22"/>
  <c r="D55" i="22" s="1"/>
  <c r="B54" i="22"/>
  <c r="D54" i="22" s="1"/>
  <c r="B53" i="22"/>
  <c r="D53" i="22" s="1"/>
  <c r="D52" i="22"/>
  <c r="B52" i="22"/>
  <c r="G50" i="22"/>
  <c r="B27" i="22"/>
  <c r="D25" i="22"/>
  <c r="B25" i="22"/>
  <c r="B24" i="22"/>
  <c r="D24" i="22" s="1"/>
  <c r="B23" i="22"/>
  <c r="E23" i="22" s="1"/>
  <c r="B20" i="22"/>
  <c r="E20" i="22" s="1"/>
  <c r="B17" i="22"/>
  <c r="D17" i="22" s="1"/>
  <c r="B16" i="22"/>
  <c r="D16" i="22" s="1"/>
  <c r="B15" i="22"/>
  <c r="D15" i="22" s="1"/>
  <c r="G12" i="22"/>
  <c r="D606" i="23" l="1"/>
  <c r="G559" i="23"/>
  <c r="B559" i="23" s="1"/>
  <c r="B558" i="23" s="1"/>
  <c r="D486" i="23"/>
  <c r="B60" i="23"/>
  <c r="D60" i="23" s="1"/>
  <c r="B138" i="22"/>
  <c r="D138" i="22" s="1"/>
  <c r="E102" i="22"/>
  <c r="E575" i="23"/>
  <c r="E479" i="22"/>
  <c r="B499" i="22"/>
  <c r="D499" i="22" s="1"/>
  <c r="G638" i="22"/>
  <c r="G654" i="22" s="1"/>
  <c r="E693" i="22"/>
  <c r="E584" i="22"/>
  <c r="E618" i="22"/>
  <c r="G362" i="22"/>
  <c r="B249" i="22"/>
  <c r="D249" i="22" s="1"/>
  <c r="B278" i="23"/>
  <c r="D278" i="23" s="1"/>
  <c r="E282" i="23"/>
  <c r="G548" i="22"/>
  <c r="B532" i="22"/>
  <c r="I370" i="23"/>
  <c r="B367" i="23"/>
  <c r="B366" i="23" s="1"/>
  <c r="G513" i="22"/>
  <c r="B497" i="22"/>
  <c r="G216" i="22"/>
  <c r="E290" i="22"/>
  <c r="B310" i="22"/>
  <c r="D310" i="22" s="1"/>
  <c r="E362" i="22"/>
  <c r="E440" i="22"/>
  <c r="B465" i="22"/>
  <c r="D465" i="22" s="1"/>
  <c r="D534" i="22"/>
  <c r="E548" i="22"/>
  <c r="B568" i="22"/>
  <c r="G618" i="22"/>
  <c r="D234" i="23"/>
  <c r="E248" i="23"/>
  <c r="D302" i="23"/>
  <c r="B412" i="23"/>
  <c r="D412" i="23" s="1"/>
  <c r="G465" i="23"/>
  <c r="D559" i="23"/>
  <c r="D558" i="23" s="1"/>
  <c r="D562" i="23"/>
  <c r="D571" i="23"/>
  <c r="K676" i="23"/>
  <c r="E688" i="23"/>
  <c r="D545" i="22"/>
  <c r="G141" i="22"/>
  <c r="E253" i="22"/>
  <c r="B311" i="22"/>
  <c r="D311" i="22" s="1"/>
  <c r="E398" i="22"/>
  <c r="B466" i="22"/>
  <c r="D466" i="22" s="1"/>
  <c r="D510" i="22"/>
  <c r="B570" i="22"/>
  <c r="D570" i="22" s="1"/>
  <c r="D680" i="22"/>
  <c r="B133" i="23"/>
  <c r="D133" i="23" s="1"/>
  <c r="B244" i="23"/>
  <c r="D244" i="23" s="1"/>
  <c r="B245" i="23"/>
  <c r="D245" i="23" s="1"/>
  <c r="B303" i="23"/>
  <c r="D303" i="23" s="1"/>
  <c r="B410" i="23"/>
  <c r="D410" i="23" s="1"/>
  <c r="D452" i="23"/>
  <c r="B454" i="23"/>
  <c r="D454" i="23" s="1"/>
  <c r="B485" i="23"/>
  <c r="D485" i="23" s="1"/>
  <c r="D496" i="23"/>
  <c r="D677" i="23"/>
  <c r="E513" i="22"/>
  <c r="E66" i="22"/>
  <c r="E324" i="22"/>
  <c r="B385" i="22"/>
  <c r="D385" i="22" s="1"/>
  <c r="G440" i="22"/>
  <c r="D476" i="22"/>
  <c r="B581" i="22"/>
  <c r="D581" i="22" s="1"/>
  <c r="B602" i="22"/>
  <c r="B601" i="22" s="1"/>
  <c r="B641" i="22"/>
  <c r="D641" i="22" s="1"/>
  <c r="D312" i="23"/>
  <c r="D369" i="23"/>
  <c r="D379" i="23"/>
  <c r="B562" i="23"/>
  <c r="D642" i="23"/>
  <c r="I14" i="23"/>
  <c r="J14" i="23" s="1"/>
  <c r="B166" i="22"/>
  <c r="D166" i="22" s="1"/>
  <c r="B205" i="22"/>
  <c r="G180" i="22"/>
  <c r="E141" i="22"/>
  <c r="E28" i="22"/>
  <c r="D141" i="23"/>
  <c r="D129" i="23"/>
  <c r="D128" i="23" s="1"/>
  <c r="G145" i="23"/>
  <c r="I145" i="23" s="1"/>
  <c r="B47" i="23"/>
  <c r="G63" i="23"/>
  <c r="I63" i="23" s="1"/>
  <c r="G101" i="23"/>
  <c r="K104" i="23" s="1"/>
  <c r="B304" i="23"/>
  <c r="D304" i="23" s="1"/>
  <c r="B331" i="23"/>
  <c r="D49" i="23"/>
  <c r="I50" i="23"/>
  <c r="B85" i="23"/>
  <c r="D85" i="23" s="1"/>
  <c r="B176" i="23"/>
  <c r="D176" i="23" s="1"/>
  <c r="B235" i="23"/>
  <c r="D235" i="23" s="1"/>
  <c r="B268" i="23"/>
  <c r="D268" i="23" s="1"/>
  <c r="D332" i="23"/>
  <c r="B336" i="23"/>
  <c r="D336" i="23" s="1"/>
  <c r="G646" i="23"/>
  <c r="B630" i="23"/>
  <c r="G27" i="23"/>
  <c r="K30" i="23" s="1"/>
  <c r="K31" i="23" s="1"/>
  <c r="I88" i="23"/>
  <c r="B231" i="23"/>
  <c r="B265" i="23"/>
  <c r="B299" i="23"/>
  <c r="I302" i="23"/>
  <c r="J309" i="23" s="1"/>
  <c r="G315" i="23"/>
  <c r="J311" i="23" s="1"/>
  <c r="J312" i="23" s="1"/>
  <c r="B409" i="23"/>
  <c r="D409" i="23" s="1"/>
  <c r="I410" i="23"/>
  <c r="J417" i="23" s="1"/>
  <c r="B561" i="23"/>
  <c r="B572" i="23"/>
  <c r="D572" i="23" s="1"/>
  <c r="B594" i="23"/>
  <c r="G610" i="23"/>
  <c r="J610" i="23" s="1"/>
  <c r="I599" i="23"/>
  <c r="B10" i="23"/>
  <c r="D11" i="23"/>
  <c r="B14" i="23"/>
  <c r="D14" i="23" s="1"/>
  <c r="D98" i="23"/>
  <c r="D131" i="23"/>
  <c r="I132" i="23"/>
  <c r="D142" i="23"/>
  <c r="G180" i="23"/>
  <c r="K183" i="23" s="1"/>
  <c r="K184" i="23" s="1"/>
  <c r="B167" i="23"/>
  <c r="D167" i="23" s="1"/>
  <c r="D201" i="23"/>
  <c r="B236" i="23"/>
  <c r="D236" i="23" s="1"/>
  <c r="G348" i="23"/>
  <c r="J345" i="23" s="1"/>
  <c r="B371" i="23"/>
  <c r="D371" i="23" s="1"/>
  <c r="I520" i="23"/>
  <c r="D517" i="23"/>
  <c r="B517" i="23"/>
  <c r="G533" i="23"/>
  <c r="B607" i="23"/>
  <c r="D607" i="23" s="1"/>
  <c r="B90" i="23"/>
  <c r="D90" i="23" s="1"/>
  <c r="D97" i="23"/>
  <c r="B145" i="23"/>
  <c r="C150" i="23" s="1"/>
  <c r="D134" i="23"/>
  <c r="B168" i="23"/>
  <c r="D168" i="23" s="1"/>
  <c r="I201" i="23"/>
  <c r="B198" i="23"/>
  <c r="D198" i="23" s="1"/>
  <c r="D211" i="23"/>
  <c r="I269" i="23"/>
  <c r="B407" i="23"/>
  <c r="G423" i="23"/>
  <c r="D164" i="23"/>
  <c r="I167" i="23"/>
  <c r="B177" i="23"/>
  <c r="D177" i="23" s="1"/>
  <c r="D232" i="23"/>
  <c r="I235" i="23"/>
  <c r="D266" i="23"/>
  <c r="D269" i="23"/>
  <c r="B270" i="23"/>
  <c r="D270" i="23" s="1"/>
  <c r="G282" i="23"/>
  <c r="J279" i="23" s="1"/>
  <c r="J278" i="23" s="1"/>
  <c r="D311" i="23"/>
  <c r="D370" i="23"/>
  <c r="D380" i="23"/>
  <c r="D420" i="23"/>
  <c r="G499" i="23"/>
  <c r="I486" i="23"/>
  <c r="D483" i="23"/>
  <c r="D519" i="23"/>
  <c r="D529" i="23"/>
  <c r="B564" i="23"/>
  <c r="D564" i="23" s="1"/>
  <c r="B596" i="23"/>
  <c r="D596" i="23" s="1"/>
  <c r="B635" i="23"/>
  <c r="D635" i="23" s="1"/>
  <c r="D301" i="23"/>
  <c r="I335" i="23"/>
  <c r="D419" i="23"/>
  <c r="I452" i="23"/>
  <c r="B495" i="23"/>
  <c r="D495" i="23" s="1"/>
  <c r="B599" i="23"/>
  <c r="D599" i="23" s="1"/>
  <c r="B632" i="23"/>
  <c r="D632" i="23" s="1"/>
  <c r="I635" i="23"/>
  <c r="E646" i="23"/>
  <c r="D271" i="23"/>
  <c r="B449" i="23"/>
  <c r="D461" i="23"/>
  <c r="D488" i="23"/>
  <c r="B522" i="23"/>
  <c r="D522" i="23" s="1"/>
  <c r="B530" i="23"/>
  <c r="D530" i="23" s="1"/>
  <c r="G575" i="23"/>
  <c r="D597" i="23"/>
  <c r="I674" i="23"/>
  <c r="I675" i="23"/>
  <c r="G672" i="23"/>
  <c r="D684" i="23"/>
  <c r="I12" i="22"/>
  <c r="G28" i="22"/>
  <c r="B12" i="22"/>
  <c r="D12" i="22" s="1"/>
  <c r="B163" i="22"/>
  <c r="D164" i="22"/>
  <c r="G66" i="22"/>
  <c r="G102" i="22"/>
  <c r="D128" i="22"/>
  <c r="D167" i="22"/>
  <c r="D202" i="22"/>
  <c r="B86" i="22"/>
  <c r="B125" i="22"/>
  <c r="D125" i="22" s="1"/>
  <c r="B216" i="22"/>
  <c r="C223" i="22" s="1"/>
  <c r="G253" i="22"/>
  <c r="B237" i="22"/>
  <c r="D237" i="22" s="1"/>
  <c r="G290" i="22"/>
  <c r="B274" i="22"/>
  <c r="D274" i="22" s="1"/>
  <c r="G324" i="22"/>
  <c r="B308" i="22"/>
  <c r="D308" i="22" s="1"/>
  <c r="G479" i="22"/>
  <c r="B463" i="22"/>
  <c r="B50" i="22"/>
  <c r="E180" i="22"/>
  <c r="D200" i="22"/>
  <c r="D205" i="22"/>
  <c r="B240" i="22"/>
  <c r="D240" i="22" s="1"/>
  <c r="D349" i="22"/>
  <c r="D427" i="22"/>
  <c r="B496" i="22"/>
  <c r="D497" i="22"/>
  <c r="B531" i="22"/>
  <c r="D532" i="22"/>
  <c r="B567" i="22"/>
  <c r="D568" i="22"/>
  <c r="D690" i="22"/>
  <c r="B277" i="22"/>
  <c r="D277" i="22" s="1"/>
  <c r="B320" i="22"/>
  <c r="D320" i="22" s="1"/>
  <c r="B346" i="22"/>
  <c r="D346" i="22" s="1"/>
  <c r="B358" i="22"/>
  <c r="D358" i="22" s="1"/>
  <c r="B382" i="22"/>
  <c r="B394" i="22"/>
  <c r="D394" i="22" s="1"/>
  <c r="B424" i="22"/>
  <c r="D424" i="22" s="1"/>
  <c r="B500" i="22"/>
  <c r="B513" i="22" s="1"/>
  <c r="C520" i="22" s="1"/>
  <c r="B535" i="22"/>
  <c r="B548" i="22" s="1"/>
  <c r="C555" i="22" s="1"/>
  <c r="B571" i="22"/>
  <c r="D571" i="22" s="1"/>
  <c r="B605" i="22"/>
  <c r="B615" i="22"/>
  <c r="D615" i="22" s="1"/>
  <c r="B638" i="22"/>
  <c r="D638" i="22" s="1"/>
  <c r="B650" i="22"/>
  <c r="D650" i="22" s="1"/>
  <c r="G677" i="22"/>
  <c r="B441" i="19"/>
  <c r="B430" i="19"/>
  <c r="B439" i="19"/>
  <c r="B431" i="19"/>
  <c r="J342" i="23" l="1"/>
  <c r="J276" i="23"/>
  <c r="J269" i="23"/>
  <c r="B180" i="22"/>
  <c r="C187" i="22" s="1"/>
  <c r="B575" i="23"/>
  <c r="C581" i="23" s="1"/>
  <c r="D367" i="23"/>
  <c r="D366" i="23" s="1"/>
  <c r="B618" i="22"/>
  <c r="C625" i="22" s="1"/>
  <c r="D602" i="22"/>
  <c r="D601" i="22" s="1"/>
  <c r="D145" i="23"/>
  <c r="D84" i="23"/>
  <c r="D101" i="23"/>
  <c r="B423" i="23"/>
  <c r="C428" i="23" s="1"/>
  <c r="B406" i="23"/>
  <c r="B202" i="23"/>
  <c r="D202" i="23" s="1"/>
  <c r="D533" i="23"/>
  <c r="D516" i="23"/>
  <c r="D27" i="23"/>
  <c r="D10" i="23"/>
  <c r="B372" i="23"/>
  <c r="D372" i="23" s="1"/>
  <c r="B237" i="23"/>
  <c r="B248" i="23" s="1"/>
  <c r="C253" i="23" s="1"/>
  <c r="B610" i="23"/>
  <c r="C616" i="23" s="1"/>
  <c r="B593" i="23"/>
  <c r="D561" i="23"/>
  <c r="D575" i="23" s="1"/>
  <c r="B210" i="23"/>
  <c r="D210" i="23" s="1"/>
  <c r="B46" i="23"/>
  <c r="B63" i="23"/>
  <c r="C69" i="23" s="1"/>
  <c r="D265" i="23"/>
  <c r="D282" i="23"/>
  <c r="D163" i="23"/>
  <c r="J575" i="23"/>
  <c r="K148" i="23"/>
  <c r="K149" i="23" s="1"/>
  <c r="B465" i="23"/>
  <c r="C470" i="23" s="1"/>
  <c r="B448" i="23"/>
  <c r="D449" i="23"/>
  <c r="B499" i="23"/>
  <c r="C504" i="23" s="1"/>
  <c r="G383" i="23"/>
  <c r="D231" i="23"/>
  <c r="D407" i="23"/>
  <c r="B169" i="23"/>
  <c r="B180" i="23" s="1"/>
  <c r="C185" i="23" s="1"/>
  <c r="J377" i="23"/>
  <c r="J348" i="23"/>
  <c r="D594" i="23"/>
  <c r="B282" i="23"/>
  <c r="C287" i="23" s="1"/>
  <c r="B337" i="23"/>
  <c r="B348" i="23" s="1"/>
  <c r="C353" i="23" s="1"/>
  <c r="D331" i="23"/>
  <c r="B27" i="23"/>
  <c r="C33" i="23" s="1"/>
  <c r="D197" i="23"/>
  <c r="B315" i="23"/>
  <c r="C320" i="23" s="1"/>
  <c r="B298" i="23"/>
  <c r="B646" i="23"/>
  <c r="C652" i="23" s="1"/>
  <c r="B629" i="23"/>
  <c r="J676" i="23"/>
  <c r="B672" i="23"/>
  <c r="D672" i="23" s="1"/>
  <c r="G688" i="23"/>
  <c r="I672" i="23"/>
  <c r="K105" i="23"/>
  <c r="D482" i="23"/>
  <c r="D499" i="23"/>
  <c r="J423" i="23"/>
  <c r="K420" i="23" s="1"/>
  <c r="J420" i="23"/>
  <c r="B197" i="23"/>
  <c r="B516" i="23"/>
  <c r="B533" i="23"/>
  <c r="C538" i="23" s="1"/>
  <c r="D299" i="23"/>
  <c r="D630" i="23"/>
  <c r="G248" i="23"/>
  <c r="J245" i="23" s="1"/>
  <c r="J244" i="23" s="1"/>
  <c r="B101" i="23"/>
  <c r="C107" i="23" s="1"/>
  <c r="B84" i="23"/>
  <c r="D47" i="23"/>
  <c r="D290" i="22"/>
  <c r="D273" i="22"/>
  <c r="D423" i="22"/>
  <c r="D440" i="22"/>
  <c r="D307" i="22"/>
  <c r="D324" i="22"/>
  <c r="G693" i="22"/>
  <c r="B677" i="22"/>
  <c r="D677" i="22" s="1"/>
  <c r="B345" i="22"/>
  <c r="B362" i="22"/>
  <c r="C369" i="22" s="1"/>
  <c r="B479" i="22"/>
  <c r="C486" i="22" s="1"/>
  <c r="B462" i="22"/>
  <c r="D637" i="22"/>
  <c r="D654" i="22"/>
  <c r="B49" i="22"/>
  <c r="B66" i="22"/>
  <c r="B73" i="22" s="1"/>
  <c r="D463" i="22"/>
  <c r="D605" i="22"/>
  <c r="D50" i="22"/>
  <c r="B637" i="22"/>
  <c r="B654" i="22"/>
  <c r="C661" i="22" s="1"/>
  <c r="B381" i="22"/>
  <c r="B398" i="22"/>
  <c r="C405" i="22" s="1"/>
  <c r="D567" i="22"/>
  <c r="D584" i="22"/>
  <c r="D496" i="22"/>
  <c r="B584" i="22"/>
  <c r="C591" i="22" s="1"/>
  <c r="D199" i="22"/>
  <c r="D216" i="22"/>
  <c r="D535" i="22"/>
  <c r="D548" i="22" s="1"/>
  <c r="D28" i="22"/>
  <c r="D11" i="22"/>
  <c r="D382" i="22"/>
  <c r="D500" i="22"/>
  <c r="D513" i="22" s="1"/>
  <c r="B124" i="22"/>
  <c r="B141" i="22"/>
  <c r="B148" i="22" s="1"/>
  <c r="B11" i="22"/>
  <c r="B28" i="22"/>
  <c r="B34" i="22" s="1"/>
  <c r="I15" i="22"/>
  <c r="I14" i="22"/>
  <c r="D345" i="22"/>
  <c r="D362" i="22"/>
  <c r="B440" i="22"/>
  <c r="C446" i="22" s="1"/>
  <c r="B423" i="22"/>
  <c r="D124" i="22"/>
  <c r="D141" i="22"/>
  <c r="B307" i="22"/>
  <c r="B324" i="22"/>
  <c r="C331" i="22" s="1"/>
  <c r="B253" i="22"/>
  <c r="C260" i="22" s="1"/>
  <c r="B236" i="22"/>
  <c r="B85" i="22"/>
  <c r="B102" i="22"/>
  <c r="B109" i="22" s="1"/>
  <c r="D180" i="22"/>
  <c r="D163" i="22"/>
  <c r="D86" i="22"/>
  <c r="D531" i="22"/>
  <c r="D253" i="22"/>
  <c r="D236" i="22"/>
  <c r="B290" i="22"/>
  <c r="C297" i="22" s="1"/>
  <c r="B273" i="22"/>
  <c r="G438" i="19"/>
  <c r="B438" i="19" s="1"/>
  <c r="G428" i="19"/>
  <c r="G381" i="19"/>
  <c r="G385" i="19"/>
  <c r="G429" i="19"/>
  <c r="G425" i="19"/>
  <c r="G394" i="19"/>
  <c r="G384" i="19"/>
  <c r="G358" i="19"/>
  <c r="G345" i="19"/>
  <c r="G349" i="19"/>
  <c r="G348" i="19"/>
  <c r="G311" i="19"/>
  <c r="G307" i="19"/>
  <c r="G320" i="19"/>
  <c r="G310" i="19"/>
  <c r="G273" i="19"/>
  <c r="G286" i="19"/>
  <c r="G277" i="19"/>
  <c r="G276" i="19"/>
  <c r="G236" i="19"/>
  <c r="G240" i="19"/>
  <c r="J252" i="19"/>
  <c r="G249" i="19"/>
  <c r="G239" i="19"/>
  <c r="B383" i="23" l="1"/>
  <c r="C388" i="23" s="1"/>
  <c r="D618" i="22"/>
  <c r="D383" i="23"/>
  <c r="D688" i="23"/>
  <c r="D671" i="23"/>
  <c r="D337" i="23"/>
  <c r="D348" i="23" s="1"/>
  <c r="D169" i="23"/>
  <c r="D180" i="23" s="1"/>
  <c r="D237" i="23"/>
  <c r="D248" i="23" s="1"/>
  <c r="B203" i="23"/>
  <c r="B214" i="23" s="1"/>
  <c r="C219" i="23" s="1"/>
  <c r="D63" i="23"/>
  <c r="D46" i="23"/>
  <c r="D629" i="23"/>
  <c r="D646" i="23"/>
  <c r="G214" i="23"/>
  <c r="K217" i="23" s="1"/>
  <c r="K218" i="23" s="1"/>
  <c r="J383" i="23"/>
  <c r="K380" i="23" s="1"/>
  <c r="J380" i="23"/>
  <c r="B671" i="23"/>
  <c r="B688" i="23"/>
  <c r="B695" i="23" s="1"/>
  <c r="D448" i="23"/>
  <c r="D465" i="23"/>
  <c r="D315" i="23"/>
  <c r="D298" i="23"/>
  <c r="J688" i="23"/>
  <c r="K659" i="23"/>
  <c r="K660" i="23" s="1"/>
  <c r="D610" i="23"/>
  <c r="D593" i="23"/>
  <c r="D406" i="23"/>
  <c r="D423" i="23"/>
  <c r="D381" i="22"/>
  <c r="D398" i="22"/>
  <c r="D462" i="22"/>
  <c r="D479" i="22"/>
  <c r="D66" i="22"/>
  <c r="D49" i="22"/>
  <c r="D676" i="22"/>
  <c r="D693" i="22"/>
  <c r="D102" i="22"/>
  <c r="D85" i="22"/>
  <c r="B693" i="22"/>
  <c r="C700" i="22" s="1"/>
  <c r="B676" i="22"/>
  <c r="G420" i="21"/>
  <c r="G419" i="21"/>
  <c r="G411" i="21"/>
  <c r="G412" i="21" s="1"/>
  <c r="G410" i="21"/>
  <c r="G406" i="21"/>
  <c r="G409" i="21"/>
  <c r="E418" i="21"/>
  <c r="G380" i="21"/>
  <c r="G379" i="21"/>
  <c r="E243" i="21"/>
  <c r="E277" i="21"/>
  <c r="E310" i="21"/>
  <c r="E343" i="21"/>
  <c r="G371" i="21"/>
  <c r="G372" i="21" s="1"/>
  <c r="G370" i="21"/>
  <c r="G369" i="21"/>
  <c r="G366" i="21"/>
  <c r="J344" i="21"/>
  <c r="G345" i="21"/>
  <c r="G344" i="21"/>
  <c r="G336" i="21"/>
  <c r="G337" i="21" s="1"/>
  <c r="G335" i="21"/>
  <c r="G331" i="21"/>
  <c r="G334" i="21"/>
  <c r="G244" i="21"/>
  <c r="G245" i="21"/>
  <c r="G278" i="21"/>
  <c r="G279" i="21"/>
  <c r="G311" i="21"/>
  <c r="G312" i="21"/>
  <c r="G303" i="21"/>
  <c r="G304" i="21" s="1"/>
  <c r="G302" i="21"/>
  <c r="G301" i="21"/>
  <c r="G298" i="21"/>
  <c r="G270" i="21"/>
  <c r="G271" i="21" s="1"/>
  <c r="G269" i="21"/>
  <c r="G268" i="21"/>
  <c r="G265" i="21"/>
  <c r="G235" i="21"/>
  <c r="G234" i="21"/>
  <c r="G231" i="21"/>
  <c r="G236" i="21"/>
  <c r="G237" i="21" s="1"/>
  <c r="D203" i="23" l="1"/>
  <c r="D214" i="23" s="1"/>
  <c r="G201" i="21"/>
  <c r="G200" i="21"/>
  <c r="G197" i="21"/>
  <c r="G198" i="21" s="1"/>
  <c r="G212" i="19"/>
  <c r="G205" i="19"/>
  <c r="G177" i="21"/>
  <c r="G211" i="21" s="1"/>
  <c r="B211" i="21" s="1"/>
  <c r="G176" i="21"/>
  <c r="G210" i="21" s="1"/>
  <c r="G168" i="21"/>
  <c r="G202" i="21" s="1"/>
  <c r="B202" i="21" s="1"/>
  <c r="D202" i="21" s="1"/>
  <c r="G167" i="21"/>
  <c r="G163" i="21"/>
  <c r="G164" i="21" s="1"/>
  <c r="G166" i="21"/>
  <c r="G142" i="21"/>
  <c r="G141" i="21"/>
  <c r="G133" i="21"/>
  <c r="G132" i="21"/>
  <c r="B132" i="21" s="1"/>
  <c r="D132" i="21" s="1"/>
  <c r="G131" i="21"/>
  <c r="G128" i="21"/>
  <c r="G98" i="21"/>
  <c r="B98" i="21" s="1"/>
  <c r="G97" i="21"/>
  <c r="G90" i="21"/>
  <c r="B90" i="21" s="1"/>
  <c r="D90" i="21" s="1"/>
  <c r="G89" i="21"/>
  <c r="B89" i="21" s="1"/>
  <c r="D89" i="21" s="1"/>
  <c r="G88" i="21"/>
  <c r="G84" i="21"/>
  <c r="G87" i="21"/>
  <c r="G60" i="21"/>
  <c r="G59" i="21"/>
  <c r="G52" i="21"/>
  <c r="G50" i="21"/>
  <c r="G49" i="21"/>
  <c r="B49" i="21" s="1"/>
  <c r="D49" i="21" s="1"/>
  <c r="G46" i="21"/>
  <c r="G47" i="21" s="1"/>
  <c r="G23" i="21"/>
  <c r="B23" i="21" s="1"/>
  <c r="D23" i="21" s="1"/>
  <c r="G24" i="21"/>
  <c r="B24" i="21" s="1"/>
  <c r="D24" i="21" s="1"/>
  <c r="G10" i="21"/>
  <c r="G11" i="21" s="1"/>
  <c r="G13" i="21"/>
  <c r="B13" i="21" s="1"/>
  <c r="D13" i="21" s="1"/>
  <c r="G14" i="21"/>
  <c r="B687" i="21"/>
  <c r="G685" i="21"/>
  <c r="G684" i="21"/>
  <c r="B684" i="21" s="1"/>
  <c r="E683" i="21"/>
  <c r="B680" i="21"/>
  <c r="E680" i="21" s="1"/>
  <c r="G677" i="21"/>
  <c r="B677" i="21" s="1"/>
  <c r="D677" i="21" s="1"/>
  <c r="B676" i="21"/>
  <c r="D676" i="21" s="1"/>
  <c r="B675" i="21"/>
  <c r="D675" i="21" s="1"/>
  <c r="G674" i="21"/>
  <c r="G671" i="21"/>
  <c r="K567" i="21" s="1"/>
  <c r="K568" i="21" s="1"/>
  <c r="B645" i="21"/>
  <c r="G643" i="21"/>
  <c r="B643" i="21" s="1"/>
  <c r="D643" i="21" s="1"/>
  <c r="G642" i="21"/>
  <c r="B642" i="21" s="1"/>
  <c r="D642" i="21" s="1"/>
  <c r="B641" i="21"/>
  <c r="E641" i="21" s="1"/>
  <c r="K638" i="21"/>
  <c r="K639" i="21" s="1"/>
  <c r="B638" i="21"/>
  <c r="E638" i="21" s="1"/>
  <c r="G635" i="21"/>
  <c r="B635" i="21" s="1"/>
  <c r="B634" i="21"/>
  <c r="D634" i="21" s="1"/>
  <c r="G633" i="21"/>
  <c r="G632" i="21"/>
  <c r="B632" i="21" s="1"/>
  <c r="G629" i="21"/>
  <c r="G630" i="21" s="1"/>
  <c r="B609" i="21"/>
  <c r="G607" i="21"/>
  <c r="B607" i="21" s="1"/>
  <c r="G606" i="21"/>
  <c r="B606" i="21" s="1"/>
  <c r="D606" i="21" s="1"/>
  <c r="B605" i="21"/>
  <c r="E605" i="21" s="1"/>
  <c r="K602" i="21"/>
  <c r="K603" i="21" s="1"/>
  <c r="B602" i="21"/>
  <c r="E602" i="21" s="1"/>
  <c r="G599" i="21"/>
  <c r="B598" i="21"/>
  <c r="D598" i="21" s="1"/>
  <c r="G597" i="21"/>
  <c r="B597" i="21" s="1"/>
  <c r="D597" i="21" s="1"/>
  <c r="G596" i="21"/>
  <c r="G593" i="21"/>
  <c r="G594" i="21" s="1"/>
  <c r="B594" i="21" s="1"/>
  <c r="B574" i="21"/>
  <c r="G572" i="21"/>
  <c r="G571" i="21"/>
  <c r="B571" i="21" s="1"/>
  <c r="B570" i="21"/>
  <c r="E570" i="21" s="1"/>
  <c r="B567" i="21"/>
  <c r="E567" i="21" s="1"/>
  <c r="G564" i="21"/>
  <c r="B563" i="21"/>
  <c r="D563" i="21" s="1"/>
  <c r="G562" i="21"/>
  <c r="B562" i="21" s="1"/>
  <c r="D562" i="21" s="1"/>
  <c r="G561" i="21"/>
  <c r="G558" i="21"/>
  <c r="G559" i="21" s="1"/>
  <c r="B559" i="21" s="1"/>
  <c r="K536" i="21"/>
  <c r="K537" i="21" s="1"/>
  <c r="G530" i="21"/>
  <c r="G529" i="21"/>
  <c r="B529" i="21" s="1"/>
  <c r="B525" i="21"/>
  <c r="E525" i="21" s="1"/>
  <c r="E533" i="21" s="1"/>
  <c r="G522" i="21"/>
  <c r="B521" i="21"/>
  <c r="D521" i="21" s="1"/>
  <c r="G520" i="21"/>
  <c r="B520" i="21" s="1"/>
  <c r="D520" i="21" s="1"/>
  <c r="G519" i="21"/>
  <c r="B519" i="21" s="1"/>
  <c r="D519" i="21" s="1"/>
  <c r="G516" i="21"/>
  <c r="G517" i="21" s="1"/>
  <c r="K502" i="21"/>
  <c r="K503" i="21" s="1"/>
  <c r="G496" i="21"/>
  <c r="B496" i="21"/>
  <c r="D496" i="21" s="1"/>
  <c r="G495" i="21"/>
  <c r="B491" i="21"/>
  <c r="E491" i="21" s="1"/>
  <c r="E499" i="21" s="1"/>
  <c r="G488" i="21"/>
  <c r="B488" i="21" s="1"/>
  <c r="D488" i="21" s="1"/>
  <c r="B487" i="21"/>
  <c r="D487" i="21" s="1"/>
  <c r="G486" i="21"/>
  <c r="B486" i="21" s="1"/>
  <c r="G485" i="21"/>
  <c r="B485" i="21"/>
  <c r="D485" i="21" s="1"/>
  <c r="G482" i="21"/>
  <c r="G483" i="21" s="1"/>
  <c r="K468" i="21"/>
  <c r="K469" i="21" s="1"/>
  <c r="G462" i="21"/>
  <c r="G461" i="21"/>
  <c r="B461" i="21" s="1"/>
  <c r="D461" i="21" s="1"/>
  <c r="B457" i="21"/>
  <c r="E457" i="21" s="1"/>
  <c r="E465" i="21" s="1"/>
  <c r="G454" i="21"/>
  <c r="B454" i="21" s="1"/>
  <c r="D454" i="21" s="1"/>
  <c r="B453" i="21"/>
  <c r="D453" i="21" s="1"/>
  <c r="G452" i="21"/>
  <c r="G451" i="21"/>
  <c r="B451" i="21" s="1"/>
  <c r="G448" i="21"/>
  <c r="G449" i="21" s="1"/>
  <c r="K427" i="21"/>
  <c r="E423" i="21"/>
  <c r="J419" i="21"/>
  <c r="B419" i="21"/>
  <c r="B412" i="21"/>
  <c r="D412" i="21" s="1"/>
  <c r="B411" i="21"/>
  <c r="B410" i="21"/>
  <c r="G407" i="21"/>
  <c r="K386" i="21"/>
  <c r="K387" i="21" s="1"/>
  <c r="B380" i="21"/>
  <c r="D380" i="21" s="1"/>
  <c r="J379" i="21"/>
  <c r="B379" i="21"/>
  <c r="D379" i="21" s="1"/>
  <c r="B375" i="21"/>
  <c r="E375" i="21" s="1"/>
  <c r="E383" i="21" s="1"/>
  <c r="B372" i="21"/>
  <c r="D372" i="21" s="1"/>
  <c r="B371" i="21"/>
  <c r="D371" i="21" s="1"/>
  <c r="B370" i="21"/>
  <c r="D370" i="21" s="1"/>
  <c r="B369" i="21"/>
  <c r="D369" i="21" s="1"/>
  <c r="G367" i="21"/>
  <c r="K351" i="21"/>
  <c r="K352" i="21" s="1"/>
  <c r="B340" i="21"/>
  <c r="E340" i="21" s="1"/>
  <c r="E348" i="21" s="1"/>
  <c r="B337" i="21"/>
  <c r="D337" i="21" s="1"/>
  <c r="B336" i="21"/>
  <c r="D336" i="21" s="1"/>
  <c r="B334" i="21"/>
  <c r="D334" i="21" s="1"/>
  <c r="G332" i="21"/>
  <c r="B332" i="21" s="1"/>
  <c r="K318" i="21"/>
  <c r="K319" i="21" s="1"/>
  <c r="J311" i="21"/>
  <c r="B307" i="21"/>
  <c r="E307" i="21" s="1"/>
  <c r="E315" i="21" s="1"/>
  <c r="B304" i="21"/>
  <c r="D304" i="21" s="1"/>
  <c r="B303" i="21"/>
  <c r="D303" i="21" s="1"/>
  <c r="B302" i="21"/>
  <c r="D302" i="21" s="1"/>
  <c r="B301" i="21"/>
  <c r="D301" i="21" s="1"/>
  <c r="G299" i="21"/>
  <c r="I302" i="21" s="1"/>
  <c r="K285" i="21"/>
  <c r="K286" i="21" s="1"/>
  <c r="B279" i="21"/>
  <c r="J278" i="21"/>
  <c r="B274" i="21"/>
  <c r="E274" i="21" s="1"/>
  <c r="E282" i="21" s="1"/>
  <c r="B271" i="21"/>
  <c r="D271" i="21" s="1"/>
  <c r="B270" i="21"/>
  <c r="D270" i="21" s="1"/>
  <c r="B269" i="21"/>
  <c r="D269" i="21" s="1"/>
  <c r="B268" i="21"/>
  <c r="D268" i="21" s="1"/>
  <c r="G266" i="21"/>
  <c r="K251" i="21"/>
  <c r="K252" i="21" s="1"/>
  <c r="B245" i="21"/>
  <c r="D245" i="21" s="1"/>
  <c r="J244" i="21"/>
  <c r="B244" i="21"/>
  <c r="D244" i="21" s="1"/>
  <c r="B240" i="21"/>
  <c r="E240" i="21" s="1"/>
  <c r="E248" i="21" s="1"/>
  <c r="B237" i="21"/>
  <c r="D237" i="21" s="1"/>
  <c r="B236" i="21"/>
  <c r="D236" i="21" s="1"/>
  <c r="B235" i="21"/>
  <c r="D235" i="21" s="1"/>
  <c r="B234" i="21"/>
  <c r="G232" i="21"/>
  <c r="K217" i="21"/>
  <c r="K218" i="21" s="1"/>
  <c r="B206" i="21"/>
  <c r="E206" i="21" s="1"/>
  <c r="E214" i="21" s="1"/>
  <c r="B201" i="21"/>
  <c r="D201" i="21" s="1"/>
  <c r="B200" i="21"/>
  <c r="D200" i="21" s="1"/>
  <c r="K183" i="21"/>
  <c r="K184" i="21" s="1"/>
  <c r="B177" i="21"/>
  <c r="D177" i="21" s="1"/>
  <c r="B172" i="21"/>
  <c r="E172" i="21" s="1"/>
  <c r="E180" i="21" s="1"/>
  <c r="B137" i="21"/>
  <c r="E137" i="21" s="1"/>
  <c r="E145" i="21" s="1"/>
  <c r="B131" i="21"/>
  <c r="D131" i="21" s="1"/>
  <c r="G129" i="21"/>
  <c r="B93" i="21"/>
  <c r="E93" i="21" s="1"/>
  <c r="E101" i="21" s="1"/>
  <c r="B87" i="21"/>
  <c r="D87" i="21" s="1"/>
  <c r="G85" i="21"/>
  <c r="B55" i="21"/>
  <c r="E55" i="21" s="1"/>
  <c r="E63" i="21" s="1"/>
  <c r="B51" i="21"/>
  <c r="D51" i="21" s="1"/>
  <c r="B50" i="21"/>
  <c r="K30" i="21"/>
  <c r="K31" i="21" s="1"/>
  <c r="B19" i="21"/>
  <c r="E19" i="21" s="1"/>
  <c r="E27" i="21" s="1"/>
  <c r="B15" i="21"/>
  <c r="D15" i="21" s="1"/>
  <c r="B14" i="21"/>
  <c r="G169" i="21" l="1"/>
  <c r="B169" i="21" s="1"/>
  <c r="D169" i="21" s="1"/>
  <c r="B168" i="21"/>
  <c r="D168" i="21" s="1"/>
  <c r="B176" i="21"/>
  <c r="D176" i="21" s="1"/>
  <c r="K66" i="21"/>
  <c r="K67" i="21" s="1"/>
  <c r="G27" i="21"/>
  <c r="G646" i="21"/>
  <c r="E688" i="21"/>
  <c r="K676" i="21"/>
  <c r="D98" i="21"/>
  <c r="E610" i="21"/>
  <c r="B407" i="21"/>
  <c r="B406" i="21" s="1"/>
  <c r="I410" i="21"/>
  <c r="J417" i="21" s="1"/>
  <c r="B133" i="21"/>
  <c r="D133" i="21" s="1"/>
  <c r="D411" i="21"/>
  <c r="D419" i="21"/>
  <c r="E575" i="21"/>
  <c r="G134" i="21"/>
  <c r="B134" i="21" s="1"/>
  <c r="D134" i="21" s="1"/>
  <c r="G203" i="21"/>
  <c r="B203" i="21" s="1"/>
  <c r="B59" i="21"/>
  <c r="D59" i="21" s="1"/>
  <c r="D410" i="21"/>
  <c r="B462" i="21"/>
  <c r="D462" i="21" s="1"/>
  <c r="E646" i="21"/>
  <c r="J412" i="21"/>
  <c r="B420" i="21"/>
  <c r="D420" i="21" s="1"/>
  <c r="D332" i="21"/>
  <c r="B331" i="21"/>
  <c r="B299" i="21"/>
  <c r="B298" i="21" s="1"/>
  <c r="B232" i="21"/>
  <c r="B231" i="21" s="1"/>
  <c r="I50" i="21"/>
  <c r="I14" i="21"/>
  <c r="I132" i="21"/>
  <c r="B129" i="21"/>
  <c r="D129" i="21" s="1"/>
  <c r="B164" i="21"/>
  <c r="D164" i="21" s="1"/>
  <c r="G180" i="21"/>
  <c r="I167" i="21"/>
  <c r="G101" i="21"/>
  <c r="B85" i="21"/>
  <c r="D85" i="21" s="1"/>
  <c r="G214" i="21"/>
  <c r="I201" i="21"/>
  <c r="B198" i="21"/>
  <c r="B278" i="21"/>
  <c r="D278" i="21" s="1"/>
  <c r="B311" i="21"/>
  <c r="D311" i="21" s="1"/>
  <c r="B593" i="21"/>
  <c r="D14" i="21"/>
  <c r="D50" i="21"/>
  <c r="I88" i="21"/>
  <c r="B97" i="21"/>
  <c r="D97" i="21" s="1"/>
  <c r="B142" i="21"/>
  <c r="D142" i="21" s="1"/>
  <c r="B167" i="21"/>
  <c r="D167" i="21" s="1"/>
  <c r="D211" i="21"/>
  <c r="G248" i="21"/>
  <c r="J245" i="21" s="1"/>
  <c r="I235" i="21"/>
  <c r="G315" i="21"/>
  <c r="J312" i="21" s="1"/>
  <c r="G348" i="21"/>
  <c r="J345" i="21" s="1"/>
  <c r="I335" i="21"/>
  <c r="J342" i="21" s="1"/>
  <c r="B344" i="21"/>
  <c r="D344" i="21" s="1"/>
  <c r="B409" i="21"/>
  <c r="D409" i="21" s="1"/>
  <c r="B558" i="21"/>
  <c r="I674" i="21"/>
  <c r="I675" i="21"/>
  <c r="G282" i="21"/>
  <c r="J279" i="21" s="1"/>
  <c r="I269" i="21"/>
  <c r="J276" i="21" s="1"/>
  <c r="B266" i="21"/>
  <c r="D266" i="21" s="1"/>
  <c r="B11" i="21"/>
  <c r="D11" i="21" s="1"/>
  <c r="B16" i="21"/>
  <c r="D16" i="21" s="1"/>
  <c r="B47" i="21"/>
  <c r="B52" i="21"/>
  <c r="D52" i="21" s="1"/>
  <c r="B60" i="21"/>
  <c r="D60" i="21" s="1"/>
  <c r="B88" i="21"/>
  <c r="D88" i="21" s="1"/>
  <c r="B141" i="21"/>
  <c r="D141" i="21" s="1"/>
  <c r="B166" i="21"/>
  <c r="D166" i="21" s="1"/>
  <c r="B210" i="21"/>
  <c r="D210" i="21" s="1"/>
  <c r="D234" i="21"/>
  <c r="D279" i="21"/>
  <c r="B312" i="21"/>
  <c r="D312" i="21" s="1"/>
  <c r="B335" i="21"/>
  <c r="D335" i="21" s="1"/>
  <c r="G465" i="21"/>
  <c r="I452" i="21"/>
  <c r="B449" i="21"/>
  <c r="D449" i="21" s="1"/>
  <c r="G63" i="21"/>
  <c r="I63" i="21" s="1"/>
  <c r="J309" i="21"/>
  <c r="D331" i="21"/>
  <c r="B345" i="21"/>
  <c r="D345" i="21" s="1"/>
  <c r="G383" i="21"/>
  <c r="J380" i="21" s="1"/>
  <c r="I370" i="21"/>
  <c r="J377" i="21" s="1"/>
  <c r="B367" i="21"/>
  <c r="D367" i="21" s="1"/>
  <c r="G499" i="21"/>
  <c r="I486" i="21"/>
  <c r="B483" i="21"/>
  <c r="D483" i="21" s="1"/>
  <c r="I520" i="21"/>
  <c r="B517" i="21"/>
  <c r="G533" i="21"/>
  <c r="D451" i="21"/>
  <c r="D486" i="21"/>
  <c r="D529" i="21"/>
  <c r="D559" i="21"/>
  <c r="D571" i="21"/>
  <c r="D594" i="21"/>
  <c r="D607" i="21"/>
  <c r="B630" i="21"/>
  <c r="D632" i="21"/>
  <c r="D635" i="21"/>
  <c r="G672" i="21"/>
  <c r="D684" i="21"/>
  <c r="G423" i="21"/>
  <c r="J420" i="21" s="1"/>
  <c r="G575" i="21"/>
  <c r="I599" i="21"/>
  <c r="B452" i="21"/>
  <c r="D452" i="21" s="1"/>
  <c r="B495" i="21"/>
  <c r="D495" i="21" s="1"/>
  <c r="B522" i="21"/>
  <c r="D522" i="21" s="1"/>
  <c r="B530" i="21"/>
  <c r="D530" i="21" s="1"/>
  <c r="B561" i="21"/>
  <c r="D561" i="21" s="1"/>
  <c r="B564" i="21"/>
  <c r="B572" i="21"/>
  <c r="D572" i="21" s="1"/>
  <c r="B596" i="21"/>
  <c r="B599" i="21"/>
  <c r="D599" i="21" s="1"/>
  <c r="G610" i="21"/>
  <c r="J610" i="21" s="1"/>
  <c r="B633" i="21"/>
  <c r="D633" i="21" s="1"/>
  <c r="I635" i="21"/>
  <c r="B674" i="21"/>
  <c r="D674" i="21" s="1"/>
  <c r="B685" i="21"/>
  <c r="D685" i="21" s="1"/>
  <c r="G203" i="19"/>
  <c r="B203" i="19" s="1"/>
  <c r="D203" i="19" s="1"/>
  <c r="G202" i="19"/>
  <c r="G199" i="19"/>
  <c r="G177" i="19"/>
  <c r="B177" i="19" s="1"/>
  <c r="D177" i="19" s="1"/>
  <c r="G167" i="19"/>
  <c r="B167" i="19" s="1"/>
  <c r="D167" i="19" s="1"/>
  <c r="G163" i="19"/>
  <c r="G164" i="19" s="1"/>
  <c r="B164" i="19" s="1"/>
  <c r="B163" i="19" s="1"/>
  <c r="G166" i="19"/>
  <c r="G128" i="19"/>
  <c r="B128" i="19" s="1"/>
  <c r="D128" i="19" s="1"/>
  <c r="G127" i="19"/>
  <c r="G138" i="19"/>
  <c r="B138" i="19" s="1"/>
  <c r="D138" i="19" s="1"/>
  <c r="G124" i="19"/>
  <c r="G125" i="19" s="1"/>
  <c r="G85" i="19"/>
  <c r="G89" i="19"/>
  <c r="G88" i="19"/>
  <c r="B88" i="19" s="1"/>
  <c r="D88" i="19" s="1"/>
  <c r="G53" i="19"/>
  <c r="G52" i="19"/>
  <c r="B52" i="19" s="1"/>
  <c r="D52" i="19" s="1"/>
  <c r="G49" i="19"/>
  <c r="G50" i="19" s="1"/>
  <c r="G11" i="19"/>
  <c r="G12" i="19" s="1"/>
  <c r="G14" i="19"/>
  <c r="G15" i="19"/>
  <c r="B694" i="19"/>
  <c r="G692" i="19"/>
  <c r="G691" i="19"/>
  <c r="B691" i="19" s="1"/>
  <c r="D691" i="19" s="1"/>
  <c r="B690" i="19"/>
  <c r="E690" i="19" s="1"/>
  <c r="E687" i="19"/>
  <c r="B687" i="19"/>
  <c r="B684" i="19"/>
  <c r="D684" i="19" s="1"/>
  <c r="B683" i="19"/>
  <c r="D683" i="19" s="1"/>
  <c r="G682" i="19"/>
  <c r="G681" i="19"/>
  <c r="I680" i="19"/>
  <c r="G678" i="19"/>
  <c r="G679" i="19" s="1"/>
  <c r="B655" i="19"/>
  <c r="G653" i="19"/>
  <c r="B653" i="19" s="1"/>
  <c r="G652" i="19"/>
  <c r="B652" i="19" s="1"/>
  <c r="D652" i="19" s="1"/>
  <c r="B651" i="19"/>
  <c r="E651" i="19" s="1"/>
  <c r="B648" i="19"/>
  <c r="E648" i="19" s="1"/>
  <c r="B645" i="19"/>
  <c r="D645" i="19" s="1"/>
  <c r="I644" i="19"/>
  <c r="B644" i="19"/>
  <c r="D644" i="19" s="1"/>
  <c r="G643" i="19"/>
  <c r="G642" i="19"/>
  <c r="G639" i="19"/>
  <c r="G640" i="19" s="1"/>
  <c r="B640" i="19" s="1"/>
  <c r="B619" i="19"/>
  <c r="G617" i="19"/>
  <c r="B617" i="19" s="1"/>
  <c r="D617" i="19" s="1"/>
  <c r="G616" i="19"/>
  <c r="B616" i="19"/>
  <c r="B615" i="19"/>
  <c r="E615" i="19" s="1"/>
  <c r="B612" i="19"/>
  <c r="E612" i="19" s="1"/>
  <c r="B609" i="19"/>
  <c r="D609" i="19" s="1"/>
  <c r="B608" i="19"/>
  <c r="D608" i="19" s="1"/>
  <c r="G607" i="19"/>
  <c r="B607" i="19" s="1"/>
  <c r="D607" i="19" s="1"/>
  <c r="G606" i="19"/>
  <c r="G603" i="19"/>
  <c r="G604" i="19" s="1"/>
  <c r="B585" i="19"/>
  <c r="G583" i="19"/>
  <c r="G582" i="19"/>
  <c r="B582" i="19" s="1"/>
  <c r="B581" i="19"/>
  <c r="E581" i="19" s="1"/>
  <c r="B578" i="19"/>
  <c r="E578" i="19" s="1"/>
  <c r="B575" i="19"/>
  <c r="D575" i="19" s="1"/>
  <c r="B574" i="19"/>
  <c r="D574" i="19" s="1"/>
  <c r="G573" i="19"/>
  <c r="B573" i="19" s="1"/>
  <c r="D573" i="19" s="1"/>
  <c r="G572" i="19"/>
  <c r="B572" i="19" s="1"/>
  <c r="G569" i="19"/>
  <c r="G570" i="19" s="1"/>
  <c r="B549" i="19"/>
  <c r="G547" i="19"/>
  <c r="G546" i="19"/>
  <c r="B546" i="19" s="1"/>
  <c r="D546" i="19" s="1"/>
  <c r="B545" i="19"/>
  <c r="E545" i="19" s="1"/>
  <c r="B542" i="19"/>
  <c r="E542" i="19" s="1"/>
  <c r="E550" i="19" s="1"/>
  <c r="B539" i="19"/>
  <c r="D539" i="19" s="1"/>
  <c r="B538" i="19"/>
  <c r="D538" i="19" s="1"/>
  <c r="G537" i="19"/>
  <c r="B537" i="19" s="1"/>
  <c r="D537" i="19" s="1"/>
  <c r="G536" i="19"/>
  <c r="B536" i="19" s="1"/>
  <c r="D536" i="19" s="1"/>
  <c r="G533" i="19"/>
  <c r="G534" i="19" s="1"/>
  <c r="B514" i="19"/>
  <c r="G512" i="19"/>
  <c r="G511" i="19"/>
  <c r="B511" i="19" s="1"/>
  <c r="B510" i="19"/>
  <c r="E510" i="19" s="1"/>
  <c r="B507" i="19"/>
  <c r="E507" i="19" s="1"/>
  <c r="B504" i="19"/>
  <c r="D504" i="19" s="1"/>
  <c r="B503" i="19"/>
  <c r="D503" i="19" s="1"/>
  <c r="G502" i="19"/>
  <c r="B502" i="19" s="1"/>
  <c r="D502" i="19" s="1"/>
  <c r="G501" i="19"/>
  <c r="B501" i="19" s="1"/>
  <c r="D501" i="19" s="1"/>
  <c r="G498" i="19"/>
  <c r="G499" i="19" s="1"/>
  <c r="B480" i="19"/>
  <c r="G478" i="19"/>
  <c r="G477" i="19"/>
  <c r="B477" i="19" s="1"/>
  <c r="D477" i="19" s="1"/>
  <c r="B476" i="19"/>
  <c r="E476" i="19" s="1"/>
  <c r="B473" i="19"/>
  <c r="E473" i="19" s="1"/>
  <c r="B470" i="19"/>
  <c r="D470" i="19" s="1"/>
  <c r="I469" i="19"/>
  <c r="B469" i="19"/>
  <c r="D469" i="19" s="1"/>
  <c r="G468" i="19"/>
  <c r="B468" i="19" s="1"/>
  <c r="D468" i="19" s="1"/>
  <c r="G467" i="19"/>
  <c r="G464" i="19"/>
  <c r="G465" i="19" s="1"/>
  <c r="J441" i="19"/>
  <c r="D439" i="19"/>
  <c r="D438" i="19"/>
  <c r="J437" i="19"/>
  <c r="E437" i="19"/>
  <c r="E434" i="19"/>
  <c r="E433" i="19"/>
  <c r="D431" i="19"/>
  <c r="D430" i="19"/>
  <c r="B428" i="19"/>
  <c r="G426" i="19"/>
  <c r="B426" i="19" s="1"/>
  <c r="J397" i="19"/>
  <c r="B397" i="19"/>
  <c r="B395" i="19"/>
  <c r="D395" i="19" s="1"/>
  <c r="B394" i="19"/>
  <c r="D394" i="19" s="1"/>
  <c r="J393" i="19"/>
  <c r="E393" i="19"/>
  <c r="B390" i="19"/>
  <c r="E390" i="19" s="1"/>
  <c r="E389" i="19"/>
  <c r="B387" i="19"/>
  <c r="D387" i="19" s="1"/>
  <c r="B386" i="19"/>
  <c r="D386" i="19" s="1"/>
  <c r="B385" i="19"/>
  <c r="D385" i="19" s="1"/>
  <c r="G382" i="19"/>
  <c r="J361" i="19"/>
  <c r="B361" i="19"/>
  <c r="B359" i="19"/>
  <c r="D359" i="19" s="1"/>
  <c r="B358" i="19"/>
  <c r="D358" i="19" s="1"/>
  <c r="J357" i="19"/>
  <c r="E357" i="19"/>
  <c r="B354" i="19"/>
  <c r="E354" i="19" s="1"/>
  <c r="E353" i="19"/>
  <c r="B351" i="19"/>
  <c r="D351" i="19" s="1"/>
  <c r="B350" i="19"/>
  <c r="D350" i="19" s="1"/>
  <c r="B349" i="19"/>
  <c r="D349" i="19" s="1"/>
  <c r="B348" i="19"/>
  <c r="D348" i="19" s="1"/>
  <c r="G346" i="19"/>
  <c r="J351" i="19" s="1"/>
  <c r="J323" i="19"/>
  <c r="B323" i="19"/>
  <c r="B321" i="19"/>
  <c r="D321" i="19" s="1"/>
  <c r="B316" i="19"/>
  <c r="E316" i="19" s="1"/>
  <c r="E315" i="19"/>
  <c r="B313" i="19"/>
  <c r="D313" i="19" s="1"/>
  <c r="B312" i="19"/>
  <c r="D312" i="19" s="1"/>
  <c r="B311" i="19"/>
  <c r="D311" i="19" s="1"/>
  <c r="B310" i="19"/>
  <c r="D310" i="19" s="1"/>
  <c r="G308" i="19"/>
  <c r="B308" i="19" s="1"/>
  <c r="J289" i="19"/>
  <c r="B289" i="19"/>
  <c r="B287" i="19"/>
  <c r="D287" i="19" s="1"/>
  <c r="B286" i="19"/>
  <c r="B282" i="19"/>
  <c r="E282" i="19" s="1"/>
  <c r="E281" i="19"/>
  <c r="B279" i="19"/>
  <c r="D279" i="19" s="1"/>
  <c r="B278" i="19"/>
  <c r="D278" i="19" s="1"/>
  <c r="B277" i="19"/>
  <c r="D277" i="19" s="1"/>
  <c r="B276" i="19"/>
  <c r="D276" i="19" s="1"/>
  <c r="G274" i="19"/>
  <c r="B252" i="19"/>
  <c r="B250" i="19"/>
  <c r="D250" i="19" s="1"/>
  <c r="B245" i="19"/>
  <c r="E245" i="19" s="1"/>
  <c r="E244" i="19"/>
  <c r="B242" i="19"/>
  <c r="D242" i="19" s="1"/>
  <c r="B241" i="19"/>
  <c r="D241" i="19" s="1"/>
  <c r="B240" i="19"/>
  <c r="D240" i="19" s="1"/>
  <c r="B239" i="19"/>
  <c r="D239" i="19" s="1"/>
  <c r="G237" i="19"/>
  <c r="J238" i="19" s="1"/>
  <c r="B215" i="19"/>
  <c r="B213" i="19"/>
  <c r="D213" i="19" s="1"/>
  <c r="B211" i="19"/>
  <c r="B208" i="19"/>
  <c r="E208" i="19" s="1"/>
  <c r="E216" i="19" s="1"/>
  <c r="B205" i="19"/>
  <c r="D205" i="19" s="1"/>
  <c r="B204" i="19"/>
  <c r="D204" i="19" s="1"/>
  <c r="B202" i="19"/>
  <c r="G200" i="19"/>
  <c r="B179" i="19"/>
  <c r="B176" i="19"/>
  <c r="D176" i="19" s="1"/>
  <c r="B175" i="19"/>
  <c r="E175" i="19" s="1"/>
  <c r="B172" i="19"/>
  <c r="E172" i="19" s="1"/>
  <c r="B169" i="19"/>
  <c r="D169" i="19" s="1"/>
  <c r="B168" i="19"/>
  <c r="D168" i="19" s="1"/>
  <c r="B140" i="19"/>
  <c r="B137" i="19"/>
  <c r="D137" i="19" s="1"/>
  <c r="B136" i="19"/>
  <c r="E136" i="19" s="1"/>
  <c r="B133" i="19"/>
  <c r="E133" i="19" s="1"/>
  <c r="B130" i="19"/>
  <c r="D130" i="19" s="1"/>
  <c r="B129" i="19"/>
  <c r="D129" i="19" s="1"/>
  <c r="B101" i="19"/>
  <c r="B99" i="19"/>
  <c r="D99" i="19" s="1"/>
  <c r="B98" i="19"/>
  <c r="D98" i="19" s="1"/>
  <c r="B97" i="19"/>
  <c r="E97" i="19" s="1"/>
  <c r="B94" i="19"/>
  <c r="E94" i="19" s="1"/>
  <c r="B91" i="19"/>
  <c r="D91" i="19" s="1"/>
  <c r="I90" i="19"/>
  <c r="B90" i="19"/>
  <c r="D90" i="19" s="1"/>
  <c r="G86" i="19"/>
  <c r="B65" i="19"/>
  <c r="B63" i="19"/>
  <c r="D63" i="19" s="1"/>
  <c r="B62" i="19"/>
  <c r="D62" i="19" s="1"/>
  <c r="B61" i="19"/>
  <c r="E61" i="19" s="1"/>
  <c r="B58" i="19"/>
  <c r="E58" i="19" s="1"/>
  <c r="B55" i="19"/>
  <c r="D55" i="19" s="1"/>
  <c r="B54" i="19"/>
  <c r="D54" i="19" s="1"/>
  <c r="B53" i="19"/>
  <c r="D53" i="19" s="1"/>
  <c r="B27" i="19"/>
  <c r="B25" i="19"/>
  <c r="D25" i="19" s="1"/>
  <c r="B24" i="19"/>
  <c r="D24" i="19" s="1"/>
  <c r="B23" i="19"/>
  <c r="E23" i="19" s="1"/>
  <c r="I20" i="19"/>
  <c r="B20" i="19"/>
  <c r="E20" i="19" s="1"/>
  <c r="B17" i="19"/>
  <c r="D17" i="19" s="1"/>
  <c r="B16" i="19"/>
  <c r="D16" i="19" s="1"/>
  <c r="B15" i="19"/>
  <c r="D15" i="19" s="1"/>
  <c r="B14" i="19"/>
  <c r="D14" i="19" s="1"/>
  <c r="I53" i="19" l="1"/>
  <c r="I54" i="19" s="1"/>
  <c r="G481" i="19"/>
  <c r="B610" i="21"/>
  <c r="C616" i="21" s="1"/>
  <c r="I21" i="19"/>
  <c r="I89" i="19"/>
  <c r="I128" i="19"/>
  <c r="D299" i="21"/>
  <c r="D315" i="21" s="1"/>
  <c r="G141" i="19"/>
  <c r="I643" i="19"/>
  <c r="I645" i="19" s="1"/>
  <c r="I682" i="19"/>
  <c r="I683" i="19" s="1"/>
  <c r="J387" i="19"/>
  <c r="K387" i="19" s="1"/>
  <c r="E362" i="19"/>
  <c r="J279" i="19"/>
  <c r="J274" i="19"/>
  <c r="B237" i="19"/>
  <c r="J242" i="19"/>
  <c r="G145" i="21"/>
  <c r="I145" i="21" s="1"/>
  <c r="B127" i="19"/>
  <c r="D127" i="19" s="1"/>
  <c r="E442" i="19"/>
  <c r="I468" i="19"/>
  <c r="I470" i="19" s="1"/>
  <c r="D572" i="19"/>
  <c r="E586" i="19"/>
  <c r="D407" i="21"/>
  <c r="D423" i="21" s="1"/>
  <c r="D348" i="21"/>
  <c r="B89" i="19"/>
  <c r="D89" i="19" s="1"/>
  <c r="E290" i="19"/>
  <c r="D286" i="19"/>
  <c r="J313" i="19"/>
  <c r="D428" i="19"/>
  <c r="E481" i="19"/>
  <c r="E515" i="19"/>
  <c r="D582" i="19"/>
  <c r="I607" i="19"/>
  <c r="I609" i="19" s="1"/>
  <c r="E620" i="19"/>
  <c r="D616" i="19"/>
  <c r="E656" i="19"/>
  <c r="E180" i="19"/>
  <c r="E324" i="19"/>
  <c r="D511" i="19"/>
  <c r="D653" i="19"/>
  <c r="E695" i="19"/>
  <c r="B248" i="21"/>
  <c r="C253" i="21" s="1"/>
  <c r="B423" i="21"/>
  <c r="C428" i="21" s="1"/>
  <c r="B575" i="21"/>
  <c r="C581" i="21" s="1"/>
  <c r="D203" i="21"/>
  <c r="B348" i="21"/>
  <c r="C353" i="21" s="1"/>
  <c r="D232" i="21"/>
  <c r="D366" i="21"/>
  <c r="D383" i="21"/>
  <c r="D265" i="21"/>
  <c r="D282" i="21"/>
  <c r="D10" i="21"/>
  <c r="D27" i="21"/>
  <c r="B672" i="21"/>
  <c r="D672" i="21" s="1"/>
  <c r="G688" i="21"/>
  <c r="I672" i="21"/>
  <c r="K104" i="21"/>
  <c r="K105" i="21" s="1"/>
  <c r="J575" i="21"/>
  <c r="K148" i="21"/>
  <c r="K149" i="21" s="1"/>
  <c r="D593" i="21"/>
  <c r="B482" i="21"/>
  <c r="B499" i="21"/>
  <c r="C504" i="21" s="1"/>
  <c r="B315" i="21"/>
  <c r="C320" i="21" s="1"/>
  <c r="D596" i="21"/>
  <c r="D610" i="21" s="1"/>
  <c r="B214" i="21"/>
  <c r="C219" i="21" s="1"/>
  <c r="B197" i="21"/>
  <c r="B101" i="21"/>
  <c r="C107" i="21" s="1"/>
  <c r="B84" i="21"/>
  <c r="B163" i="21"/>
  <c r="B180" i="21"/>
  <c r="C185" i="21" s="1"/>
  <c r="J423" i="21"/>
  <c r="K420" i="21" s="1"/>
  <c r="B516" i="21"/>
  <c r="B533" i="21"/>
  <c r="C538" i="21" s="1"/>
  <c r="J676" i="21"/>
  <c r="B46" i="21"/>
  <c r="B63" i="21"/>
  <c r="C69" i="21" s="1"/>
  <c r="B282" i="21"/>
  <c r="C287" i="21" s="1"/>
  <c r="B265" i="21"/>
  <c r="D180" i="21"/>
  <c r="D163" i="21"/>
  <c r="D482" i="21"/>
  <c r="D499" i="21"/>
  <c r="D630" i="21"/>
  <c r="B629" i="21"/>
  <c r="B646" i="21"/>
  <c r="C652" i="21" s="1"/>
  <c r="D558" i="21"/>
  <c r="D564" i="21"/>
  <c r="D575" i="21" s="1"/>
  <c r="D517" i="21"/>
  <c r="J383" i="21"/>
  <c r="K380" i="21" s="1"/>
  <c r="B465" i="21"/>
  <c r="C470" i="21" s="1"/>
  <c r="B448" i="21"/>
  <c r="J348" i="21"/>
  <c r="D198" i="21"/>
  <c r="D47" i="21"/>
  <c r="B128" i="21"/>
  <c r="B145" i="21"/>
  <c r="C150" i="21" s="1"/>
  <c r="B366" i="21"/>
  <c r="B383" i="21"/>
  <c r="C388" i="21" s="1"/>
  <c r="D448" i="21"/>
  <c r="D465" i="21"/>
  <c r="B10" i="21"/>
  <c r="B27" i="21"/>
  <c r="C33" i="21" s="1"/>
  <c r="D101" i="21"/>
  <c r="D84" i="21"/>
  <c r="D128" i="21"/>
  <c r="D145" i="21"/>
  <c r="E141" i="19"/>
  <c r="E102" i="19"/>
  <c r="E66" i="19"/>
  <c r="E28" i="19"/>
  <c r="G28" i="19"/>
  <c r="B12" i="19"/>
  <c r="K19" i="19"/>
  <c r="B425" i="19"/>
  <c r="B604" i="19"/>
  <c r="D604" i="19" s="1"/>
  <c r="G620" i="19"/>
  <c r="G102" i="19"/>
  <c r="B249" i="19"/>
  <c r="D249" i="19"/>
  <c r="D308" i="19"/>
  <c r="B467" i="19"/>
  <c r="D467" i="19" s="1"/>
  <c r="B478" i="19"/>
  <c r="D478" i="19" s="1"/>
  <c r="B50" i="19"/>
  <c r="B86" i="19"/>
  <c r="D86" i="19" s="1"/>
  <c r="B125" i="19"/>
  <c r="D164" i="19"/>
  <c r="J205" i="19"/>
  <c r="E253" i="19"/>
  <c r="G253" i="19"/>
  <c r="J253" i="19" s="1"/>
  <c r="B346" i="19"/>
  <c r="G362" i="19"/>
  <c r="J362" i="19" s="1"/>
  <c r="K351" i="19"/>
  <c r="G398" i="19"/>
  <c r="J398" i="19" s="1"/>
  <c r="B382" i="19"/>
  <c r="E398" i="19"/>
  <c r="B499" i="19"/>
  <c r="D499" i="19" s="1"/>
  <c r="G515" i="19"/>
  <c r="B570" i="19"/>
  <c r="D570" i="19" s="1"/>
  <c r="G586" i="19"/>
  <c r="G656" i="19"/>
  <c r="D640" i="19"/>
  <c r="B643" i="19"/>
  <c r="D643" i="19" s="1"/>
  <c r="B200" i="19"/>
  <c r="G216" i="19"/>
  <c r="B307" i="19"/>
  <c r="B384" i="19"/>
  <c r="D384" i="19" s="1"/>
  <c r="B534" i="19"/>
  <c r="G550" i="19"/>
  <c r="I19" i="19"/>
  <c r="G66" i="19"/>
  <c r="G290" i="19"/>
  <c r="J290" i="19" s="1"/>
  <c r="B274" i="19"/>
  <c r="B547" i="19"/>
  <c r="D547" i="19" s="1"/>
  <c r="B692" i="19"/>
  <c r="D692" i="19" s="1"/>
  <c r="B166" i="19"/>
  <c r="B180" i="19" s="1"/>
  <c r="C187" i="19" s="1"/>
  <c r="G180" i="19"/>
  <c r="B212" i="19"/>
  <c r="D212" i="19" s="1"/>
  <c r="B320" i="19"/>
  <c r="D320" i="19" s="1"/>
  <c r="G324" i="19"/>
  <c r="J324" i="19" s="1"/>
  <c r="G442" i="19"/>
  <c r="J442" i="19" s="1"/>
  <c r="D426" i="19"/>
  <c r="B429" i="19"/>
  <c r="B442" i="19" s="1"/>
  <c r="C448" i="19" s="1"/>
  <c r="J431" i="19"/>
  <c r="K431" i="19" s="1"/>
  <c r="B512" i="19"/>
  <c r="D512" i="19" s="1"/>
  <c r="B583" i="19"/>
  <c r="D583" i="19" s="1"/>
  <c r="B639" i="19"/>
  <c r="G695" i="19"/>
  <c r="B682" i="19"/>
  <c r="D682" i="19" s="1"/>
  <c r="B465" i="19"/>
  <c r="B642" i="19"/>
  <c r="D642" i="19" s="1"/>
  <c r="B679" i="19"/>
  <c r="B681" i="19"/>
  <c r="D681" i="19" s="1"/>
  <c r="D202" i="19"/>
  <c r="B606" i="19"/>
  <c r="D606" i="19" s="1"/>
  <c r="B430" i="16"/>
  <c r="B439" i="16"/>
  <c r="B431" i="16"/>
  <c r="B253" i="19" l="1"/>
  <c r="C260" i="19" s="1"/>
  <c r="D237" i="19"/>
  <c r="B236" i="19"/>
  <c r="D298" i="21"/>
  <c r="D429" i="19"/>
  <c r="D406" i="21"/>
  <c r="D248" i="21"/>
  <c r="D231" i="21"/>
  <c r="D63" i="21"/>
  <c r="D46" i="21"/>
  <c r="D533" i="21"/>
  <c r="D516" i="21"/>
  <c r="J688" i="21"/>
  <c r="K659" i="21"/>
  <c r="K660" i="21" s="1"/>
  <c r="D214" i="21"/>
  <c r="D197" i="21"/>
  <c r="B671" i="21"/>
  <c r="B688" i="21"/>
  <c r="B695" i="21" s="1"/>
  <c r="D629" i="21"/>
  <c r="D646" i="21"/>
  <c r="D688" i="21"/>
  <c r="D671" i="21"/>
  <c r="D166" i="19"/>
  <c r="D180" i="19" s="1"/>
  <c r="D102" i="19"/>
  <c r="D85" i="19"/>
  <c r="I15" i="19"/>
  <c r="I14" i="19"/>
  <c r="D425" i="19"/>
  <c r="D442" i="19"/>
  <c r="B290" i="19"/>
  <c r="C297" i="19" s="1"/>
  <c r="B273" i="19"/>
  <c r="B550" i="19"/>
  <c r="C557" i="19" s="1"/>
  <c r="B533" i="19"/>
  <c r="B324" i="19"/>
  <c r="C331" i="19" s="1"/>
  <c r="D515" i="19"/>
  <c r="D498" i="19"/>
  <c r="B398" i="19"/>
  <c r="C405" i="19" s="1"/>
  <c r="D382" i="19"/>
  <c r="B381" i="19"/>
  <c r="B124" i="19"/>
  <c r="B141" i="19"/>
  <c r="B148" i="19" s="1"/>
  <c r="D324" i="19"/>
  <c r="D307" i="19"/>
  <c r="D620" i="19"/>
  <c r="D603" i="19"/>
  <c r="B28" i="19"/>
  <c r="B34" i="19" s="1"/>
  <c r="B11" i="19"/>
  <c r="B695" i="19"/>
  <c r="C702" i="19" s="1"/>
  <c r="D679" i="19"/>
  <c r="B678" i="19"/>
  <c r="D253" i="19"/>
  <c r="D236" i="19"/>
  <c r="D586" i="19"/>
  <c r="D569" i="19"/>
  <c r="B362" i="19"/>
  <c r="C369" i="19" s="1"/>
  <c r="B345" i="19"/>
  <c r="B85" i="19"/>
  <c r="B102" i="19"/>
  <c r="B109" i="19" s="1"/>
  <c r="D12" i="19"/>
  <c r="D125" i="19"/>
  <c r="D534" i="19"/>
  <c r="B199" i="19"/>
  <c r="B216" i="19"/>
  <c r="C223" i="19" s="1"/>
  <c r="B515" i="19"/>
  <c r="C522" i="19" s="1"/>
  <c r="B498" i="19"/>
  <c r="B49" i="19"/>
  <c r="B66" i="19"/>
  <c r="B73" i="19" s="1"/>
  <c r="B603" i="19"/>
  <c r="B620" i="19"/>
  <c r="C627" i="19" s="1"/>
  <c r="B481" i="19"/>
  <c r="C488" i="19" s="1"/>
  <c r="D465" i="19"/>
  <c r="B464" i="19"/>
  <c r="B656" i="19"/>
  <c r="C663" i="19" s="1"/>
  <c r="D274" i="19"/>
  <c r="D200" i="19"/>
  <c r="D639" i="19"/>
  <c r="D656" i="19"/>
  <c r="B586" i="19"/>
  <c r="C593" i="19" s="1"/>
  <c r="B569" i="19"/>
  <c r="D346" i="19"/>
  <c r="D163" i="19"/>
  <c r="I12" i="19"/>
  <c r="D50" i="19"/>
  <c r="E437" i="16"/>
  <c r="E434" i="16"/>
  <c r="G412" i="18"/>
  <c r="D273" i="19" l="1"/>
  <c r="D290" i="19"/>
  <c r="D28" i="19"/>
  <c r="D11" i="19"/>
  <c r="D381" i="19"/>
  <c r="D398" i="19"/>
  <c r="D550" i="19"/>
  <c r="D533" i="19"/>
  <c r="D678" i="19"/>
  <c r="D695" i="19"/>
  <c r="D216" i="19"/>
  <c r="D199" i="19"/>
  <c r="D464" i="19"/>
  <c r="D481" i="19"/>
  <c r="D66" i="19"/>
  <c r="D49" i="19"/>
  <c r="D362" i="19"/>
  <c r="D345" i="19"/>
  <c r="D141" i="19"/>
  <c r="D124" i="19"/>
  <c r="G438" i="16"/>
  <c r="B438" i="16" s="1"/>
  <c r="G428" i="16"/>
  <c r="B428" i="16" s="1"/>
  <c r="D428" i="16" s="1"/>
  <c r="G429" i="16"/>
  <c r="B429" i="16" s="1"/>
  <c r="D429" i="16" s="1"/>
  <c r="G425" i="16"/>
  <c r="G426" i="16" s="1"/>
  <c r="J441" i="16"/>
  <c r="B441" i="16"/>
  <c r="D439" i="16"/>
  <c r="J437" i="16"/>
  <c r="E433" i="16"/>
  <c r="D431" i="16"/>
  <c r="D430" i="16"/>
  <c r="G394" i="16"/>
  <c r="B394" i="16" s="1"/>
  <c r="D394" i="16" s="1"/>
  <c r="G381" i="16"/>
  <c r="G382" i="16" s="1"/>
  <c r="G384" i="16"/>
  <c r="B384" i="16" s="1"/>
  <c r="D384" i="16" s="1"/>
  <c r="G385" i="16"/>
  <c r="J397" i="16"/>
  <c r="B397" i="16"/>
  <c r="B395" i="16"/>
  <c r="D395" i="16" s="1"/>
  <c r="J393" i="16"/>
  <c r="B393" i="16"/>
  <c r="E393" i="16" s="1"/>
  <c r="B390" i="16"/>
  <c r="E390" i="16" s="1"/>
  <c r="E389" i="16"/>
  <c r="B387" i="16"/>
  <c r="D387" i="16" s="1"/>
  <c r="B386" i="16"/>
  <c r="D386" i="16" s="1"/>
  <c r="B385" i="16"/>
  <c r="J357" i="16"/>
  <c r="G358" i="16"/>
  <c r="B358" i="16" s="1"/>
  <c r="D358" i="16" s="1"/>
  <c r="G348" i="16"/>
  <c r="B348" i="16" s="1"/>
  <c r="G349" i="16"/>
  <c r="B349" i="16" s="1"/>
  <c r="D349" i="16" s="1"/>
  <c r="G345" i="16"/>
  <c r="G346" i="16" s="1"/>
  <c r="G413" i="18"/>
  <c r="G415" i="18"/>
  <c r="G416" i="18"/>
  <c r="B416" i="18" s="1"/>
  <c r="D416" i="18" s="1"/>
  <c r="G369" i="18"/>
  <c r="G370" i="18"/>
  <c r="B370" i="18" s="1"/>
  <c r="D370" i="18" s="1"/>
  <c r="G366" i="18"/>
  <c r="G426" i="18"/>
  <c r="B426" i="18" s="1"/>
  <c r="D426" i="18" s="1"/>
  <c r="G425" i="18"/>
  <c r="B425" i="18" s="1"/>
  <c r="D425" i="18" s="1"/>
  <c r="G417" i="18"/>
  <c r="B417" i="18" s="1"/>
  <c r="D417" i="18" s="1"/>
  <c r="G418" i="18"/>
  <c r="K433" i="18"/>
  <c r="J425" i="18"/>
  <c r="E429" i="18"/>
  <c r="B415" i="18"/>
  <c r="D415" i="18" s="1"/>
  <c r="G380" i="18"/>
  <c r="B380" i="18" s="1"/>
  <c r="D380" i="18" s="1"/>
  <c r="G379" i="18"/>
  <c r="B379" i="18" s="1"/>
  <c r="D379" i="18" s="1"/>
  <c r="G372" i="18"/>
  <c r="B372" i="18" s="1"/>
  <c r="D372" i="18" s="1"/>
  <c r="G367" i="18"/>
  <c r="K386" i="18"/>
  <c r="K387" i="18" s="1"/>
  <c r="J379" i="18"/>
  <c r="B375" i="18"/>
  <c r="E375" i="18" s="1"/>
  <c r="E383" i="18" s="1"/>
  <c r="B371" i="18"/>
  <c r="D371" i="18" s="1"/>
  <c r="G454" i="18"/>
  <c r="G455" i="18" s="1"/>
  <c r="G457" i="18"/>
  <c r="G458" i="18"/>
  <c r="B458" i="18" s="1"/>
  <c r="D458" i="18" s="1"/>
  <c r="B459" i="18"/>
  <c r="D459" i="18" s="1"/>
  <c r="G460" i="18"/>
  <c r="B460" i="18" s="1"/>
  <c r="D460" i="18" s="1"/>
  <c r="J344" i="18"/>
  <c r="G345" i="18"/>
  <c r="B345" i="18" s="1"/>
  <c r="D345" i="18" s="1"/>
  <c r="G344" i="18"/>
  <c r="B344" i="18" s="1"/>
  <c r="D344" i="18" s="1"/>
  <c r="G337" i="18"/>
  <c r="B337" i="18" s="1"/>
  <c r="G334" i="18"/>
  <c r="B334" i="18" s="1"/>
  <c r="D334" i="18" s="1"/>
  <c r="G335" i="18"/>
  <c r="B335" i="18" s="1"/>
  <c r="D335" i="18" s="1"/>
  <c r="G331" i="18"/>
  <c r="G332" i="18" s="1"/>
  <c r="K351" i="18"/>
  <c r="K352" i="18" s="1"/>
  <c r="B340" i="18"/>
  <c r="E340" i="18" s="1"/>
  <c r="E348" i="18" s="1"/>
  <c r="B336" i="18"/>
  <c r="D336" i="18" s="1"/>
  <c r="J361" i="16"/>
  <c r="B361" i="16"/>
  <c r="B359" i="16"/>
  <c r="D359" i="16" s="1"/>
  <c r="B357" i="16"/>
  <c r="E357" i="16" s="1"/>
  <c r="B354" i="16"/>
  <c r="E354" i="16" s="1"/>
  <c r="E353" i="16"/>
  <c r="B351" i="16"/>
  <c r="D351" i="16" s="1"/>
  <c r="B350" i="16"/>
  <c r="D350" i="16" s="1"/>
  <c r="D438" i="16" l="1"/>
  <c r="J387" i="16"/>
  <c r="J418" i="18"/>
  <c r="J351" i="16"/>
  <c r="K351" i="16" s="1"/>
  <c r="D337" i="18"/>
  <c r="B457" i="18"/>
  <c r="D457" i="18" s="1"/>
  <c r="E442" i="16"/>
  <c r="J431" i="16"/>
  <c r="K431" i="16" s="1"/>
  <c r="G442" i="16"/>
  <c r="J442" i="16" s="1"/>
  <c r="B426" i="16"/>
  <c r="E398" i="16"/>
  <c r="K387" i="16"/>
  <c r="D385" i="16"/>
  <c r="G398" i="16"/>
  <c r="J398" i="16" s="1"/>
  <c r="B382" i="16"/>
  <c r="E362" i="16"/>
  <c r="I416" i="18"/>
  <c r="J423" i="18" s="1"/>
  <c r="B418" i="18"/>
  <c r="D418" i="18" s="1"/>
  <c r="G429" i="18"/>
  <c r="J429" i="18" s="1"/>
  <c r="B413" i="18"/>
  <c r="B367" i="18"/>
  <c r="D367" i="18" s="1"/>
  <c r="G383" i="18"/>
  <c r="J383" i="18" s="1"/>
  <c r="K380" i="18" s="1"/>
  <c r="I370" i="18"/>
  <c r="J377" i="18" s="1"/>
  <c r="B369" i="18"/>
  <c r="D369" i="18" s="1"/>
  <c r="B455" i="18"/>
  <c r="B454" i="18" s="1"/>
  <c r="I458" i="18"/>
  <c r="B332" i="18"/>
  <c r="B348" i="18" s="1"/>
  <c r="C353" i="18" s="1"/>
  <c r="I335" i="18"/>
  <c r="J342" i="18" s="1"/>
  <c r="G348" i="18"/>
  <c r="G362" i="16"/>
  <c r="J362" i="16" s="1"/>
  <c r="B346" i="16"/>
  <c r="D348" i="16"/>
  <c r="G320" i="16"/>
  <c r="B320" i="16" s="1"/>
  <c r="D320" i="16" s="1"/>
  <c r="G310" i="16"/>
  <c r="B310" i="16" s="1"/>
  <c r="G307" i="16"/>
  <c r="G308" i="16" s="1"/>
  <c r="J323" i="16"/>
  <c r="B323" i="16"/>
  <c r="B321" i="16"/>
  <c r="D321" i="16" s="1"/>
  <c r="B319" i="16"/>
  <c r="E319" i="16" s="1"/>
  <c r="B316" i="16"/>
  <c r="E316" i="16" s="1"/>
  <c r="E315" i="16"/>
  <c r="B313" i="16"/>
  <c r="D313" i="16" s="1"/>
  <c r="B312" i="16"/>
  <c r="D312" i="16" s="1"/>
  <c r="B311" i="16"/>
  <c r="D311" i="16" s="1"/>
  <c r="G286" i="16"/>
  <c r="B286" i="16" s="1"/>
  <c r="D286" i="16" s="1"/>
  <c r="G276" i="16"/>
  <c r="B276" i="16" s="1"/>
  <c r="D276" i="16" s="1"/>
  <c r="G273" i="16"/>
  <c r="G274" i="16" s="1"/>
  <c r="J279" i="16" s="1"/>
  <c r="J289" i="16"/>
  <c r="B289" i="16"/>
  <c r="B287" i="16"/>
  <c r="D287" i="16" s="1"/>
  <c r="B285" i="16"/>
  <c r="E285" i="16" s="1"/>
  <c r="B282" i="16"/>
  <c r="E282" i="16" s="1"/>
  <c r="E281" i="16"/>
  <c r="B279" i="16"/>
  <c r="D279" i="16" s="1"/>
  <c r="B278" i="16"/>
  <c r="D278" i="16" s="1"/>
  <c r="B277" i="16"/>
  <c r="D277" i="16" s="1"/>
  <c r="G249" i="16"/>
  <c r="B249" i="16" s="1"/>
  <c r="D249" i="16" s="1"/>
  <c r="E244" i="16"/>
  <c r="B248" i="16"/>
  <c r="E248" i="16" s="1"/>
  <c r="B211" i="16"/>
  <c r="E211" i="16" s="1"/>
  <c r="J252" i="16"/>
  <c r="G239" i="16"/>
  <c r="G236" i="16"/>
  <c r="G237" i="16" s="1"/>
  <c r="B252" i="16"/>
  <c r="B250" i="16"/>
  <c r="D250" i="16" s="1"/>
  <c r="B245" i="16"/>
  <c r="E245" i="16" s="1"/>
  <c r="B242" i="16"/>
  <c r="D242" i="16" s="1"/>
  <c r="B241" i="16"/>
  <c r="D241" i="16" s="1"/>
  <c r="B240" i="16"/>
  <c r="D240" i="16" s="1"/>
  <c r="B239" i="16"/>
  <c r="D239" i="16" s="1"/>
  <c r="G212" i="16"/>
  <c r="B212" i="16" s="1"/>
  <c r="D212" i="16" s="1"/>
  <c r="G202" i="16"/>
  <c r="B202" i="16" s="1"/>
  <c r="D202" i="16" s="1"/>
  <c r="G199" i="16"/>
  <c r="G200" i="16" s="1"/>
  <c r="B215" i="16"/>
  <c r="B213" i="16"/>
  <c r="D213" i="16" s="1"/>
  <c r="B208" i="16"/>
  <c r="E208" i="16" s="1"/>
  <c r="B205" i="16"/>
  <c r="D205" i="16" s="1"/>
  <c r="B204" i="16"/>
  <c r="D204" i="16" s="1"/>
  <c r="J311" i="18"/>
  <c r="G311" i="18"/>
  <c r="B311" i="18" s="1"/>
  <c r="D311" i="18" s="1"/>
  <c r="G312" i="18"/>
  <c r="B312" i="18" s="1"/>
  <c r="D312" i="18" s="1"/>
  <c r="G304" i="18"/>
  <c r="B304" i="18" s="1"/>
  <c r="D304" i="18" s="1"/>
  <c r="G301" i="18"/>
  <c r="B301" i="18" s="1"/>
  <c r="D301" i="18" s="1"/>
  <c r="G298" i="18"/>
  <c r="G299" i="18" s="1"/>
  <c r="K318" i="18"/>
  <c r="K319" i="18" s="1"/>
  <c r="B307" i="18"/>
  <c r="E307" i="18" s="1"/>
  <c r="E315" i="18" s="1"/>
  <c r="B303" i="18"/>
  <c r="D303" i="18" s="1"/>
  <c r="B302" i="18"/>
  <c r="D302" i="18" s="1"/>
  <c r="J278" i="18"/>
  <c r="G279" i="18"/>
  <c r="B279" i="18" s="1"/>
  <c r="D279" i="18" s="1"/>
  <c r="G278" i="18"/>
  <c r="B278" i="18" s="1"/>
  <c r="D278" i="18" s="1"/>
  <c r="G271" i="18"/>
  <c r="B271" i="18" s="1"/>
  <c r="D271" i="18" s="1"/>
  <c r="G268" i="18"/>
  <c r="B268" i="18" s="1"/>
  <c r="D268" i="18" s="1"/>
  <c r="G265" i="18"/>
  <c r="G266" i="18" s="1"/>
  <c r="K285" i="18"/>
  <c r="K286" i="18" s="1"/>
  <c r="B274" i="18"/>
  <c r="E274" i="18" s="1"/>
  <c r="E282" i="18" s="1"/>
  <c r="B270" i="18"/>
  <c r="D270" i="18" s="1"/>
  <c r="B269" i="18"/>
  <c r="D269" i="18" s="1"/>
  <c r="J244" i="18"/>
  <c r="G245" i="18"/>
  <c r="G244" i="18"/>
  <c r="B244" i="18" s="1"/>
  <c r="D244" i="18" s="1"/>
  <c r="G237" i="18"/>
  <c r="G234" i="18"/>
  <c r="G231" i="18"/>
  <c r="G232" i="18" s="1"/>
  <c r="K251" i="18"/>
  <c r="K252" i="18" s="1"/>
  <c r="B240" i="18"/>
  <c r="E240" i="18" s="1"/>
  <c r="E248" i="18" s="1"/>
  <c r="B236" i="18"/>
  <c r="D236" i="18" s="1"/>
  <c r="B235" i="18"/>
  <c r="D235" i="18" s="1"/>
  <c r="G211" i="18"/>
  <c r="G210" i="18"/>
  <c r="B210" i="18" s="1"/>
  <c r="D210" i="18" s="1"/>
  <c r="G203" i="18"/>
  <c r="G176" i="18"/>
  <c r="G177" i="18"/>
  <c r="G200" i="18"/>
  <c r="B200" i="18" s="1"/>
  <c r="D200" i="18" s="1"/>
  <c r="G197" i="18"/>
  <c r="G198" i="18" s="1"/>
  <c r="K217" i="18"/>
  <c r="K218" i="18" s="1"/>
  <c r="B206" i="18"/>
  <c r="E206" i="18" s="1"/>
  <c r="E214" i="18" s="1"/>
  <c r="B202" i="18"/>
  <c r="D202" i="18" s="1"/>
  <c r="B201" i="18"/>
  <c r="D201" i="18" s="1"/>
  <c r="E290" i="16" l="1"/>
  <c r="E253" i="16"/>
  <c r="G282" i="18"/>
  <c r="J279" i="18" s="1"/>
  <c r="I235" i="18"/>
  <c r="B331" i="18"/>
  <c r="D455" i="18"/>
  <c r="D454" i="18" s="1"/>
  <c r="J205" i="16"/>
  <c r="B425" i="16"/>
  <c r="B442" i="16"/>
  <c r="C448" i="16" s="1"/>
  <c r="D426" i="16"/>
  <c r="B381" i="16"/>
  <c r="B398" i="16"/>
  <c r="C405" i="16" s="1"/>
  <c r="D382" i="16"/>
  <c r="E324" i="16"/>
  <c r="J426" i="18"/>
  <c r="K426" i="18"/>
  <c r="B412" i="18"/>
  <c r="B429" i="18"/>
  <c r="C434" i="18" s="1"/>
  <c r="D413" i="18"/>
  <c r="J380" i="18"/>
  <c r="D383" i="18"/>
  <c r="D366" i="18"/>
  <c r="B383" i="18"/>
  <c r="C388" i="18" s="1"/>
  <c r="B366" i="18"/>
  <c r="J345" i="18"/>
  <c r="J348" i="18"/>
  <c r="D332" i="18"/>
  <c r="B345" i="16"/>
  <c r="B362" i="16"/>
  <c r="C369" i="16" s="1"/>
  <c r="D346" i="16"/>
  <c r="B299" i="18"/>
  <c r="B298" i="18" s="1"/>
  <c r="G315" i="18"/>
  <c r="J312" i="18" s="1"/>
  <c r="G248" i="18"/>
  <c r="J245" i="18" s="1"/>
  <c r="G216" i="16"/>
  <c r="J313" i="16"/>
  <c r="G324" i="16"/>
  <c r="J324" i="16" s="1"/>
  <c r="B308" i="16"/>
  <c r="D310" i="16"/>
  <c r="G290" i="16"/>
  <c r="J290" i="16" s="1"/>
  <c r="B274" i="16"/>
  <c r="D274" i="16" s="1"/>
  <c r="B237" i="16"/>
  <c r="J242" i="16"/>
  <c r="G253" i="16"/>
  <c r="J253" i="16" s="1"/>
  <c r="E216" i="16"/>
  <c r="B203" i="16"/>
  <c r="D203" i="16" s="1"/>
  <c r="B200" i="16"/>
  <c r="D200" i="16" s="1"/>
  <c r="B315" i="18"/>
  <c r="C320" i="18" s="1"/>
  <c r="D299" i="18"/>
  <c r="D298" i="18" s="1"/>
  <c r="I302" i="18"/>
  <c r="J309" i="18" s="1"/>
  <c r="I269" i="18"/>
  <c r="J276" i="18" s="1"/>
  <c r="B266" i="18"/>
  <c r="D266" i="18" s="1"/>
  <c r="B237" i="18"/>
  <c r="D237" i="18" s="1"/>
  <c r="B245" i="18"/>
  <c r="D245" i="18" s="1"/>
  <c r="B234" i="18"/>
  <c r="D234" i="18" s="1"/>
  <c r="B232" i="18"/>
  <c r="I201" i="18"/>
  <c r="G214" i="18"/>
  <c r="B198" i="18"/>
  <c r="B203" i="18"/>
  <c r="D203" i="18" s="1"/>
  <c r="B211" i="18"/>
  <c r="D211" i="18" s="1"/>
  <c r="D442" i="16" l="1"/>
  <c r="D425" i="16"/>
  <c r="D398" i="16"/>
  <c r="D381" i="16"/>
  <c r="D412" i="18"/>
  <c r="D429" i="18"/>
  <c r="D331" i="18"/>
  <c r="D348" i="18"/>
  <c r="D362" i="16"/>
  <c r="D345" i="16"/>
  <c r="D315" i="18"/>
  <c r="B324" i="16"/>
  <c r="C331" i="16" s="1"/>
  <c r="B307" i="16"/>
  <c r="D308" i="16"/>
  <c r="B290" i="16"/>
  <c r="C297" i="16" s="1"/>
  <c r="B273" i="16"/>
  <c r="D290" i="16"/>
  <c r="D273" i="16"/>
  <c r="B253" i="16"/>
  <c r="C260" i="16" s="1"/>
  <c r="B236" i="16"/>
  <c r="D237" i="16"/>
  <c r="D216" i="16"/>
  <c r="D199" i="16"/>
  <c r="B199" i="16"/>
  <c r="B216" i="16"/>
  <c r="C223" i="16" s="1"/>
  <c r="B265" i="18"/>
  <c r="B282" i="18"/>
  <c r="C287" i="18" s="1"/>
  <c r="D265" i="18"/>
  <c r="D282" i="18"/>
  <c r="D232" i="18"/>
  <c r="B231" i="18"/>
  <c r="B248" i="18"/>
  <c r="C253" i="18" s="1"/>
  <c r="B197" i="18"/>
  <c r="B214" i="18"/>
  <c r="C219" i="18" s="1"/>
  <c r="D198" i="18"/>
  <c r="B13" i="14"/>
  <c r="D13" i="14" s="1"/>
  <c r="B52" i="14"/>
  <c r="D52" i="14" s="1"/>
  <c r="B88" i="14"/>
  <c r="D88" i="14" s="1"/>
  <c r="B127" i="14"/>
  <c r="D127" i="14" s="1"/>
  <c r="B206" i="14"/>
  <c r="D206" i="14" s="1"/>
  <c r="B240" i="14"/>
  <c r="D240" i="14" s="1"/>
  <c r="B275" i="14"/>
  <c r="D275" i="14" s="1"/>
  <c r="B311" i="14"/>
  <c r="D311" i="14" s="1"/>
  <c r="B345" i="14"/>
  <c r="D345" i="14" s="1"/>
  <c r="B381" i="14"/>
  <c r="D381" i="14" s="1"/>
  <c r="B420" i="14"/>
  <c r="D420" i="14" s="1"/>
  <c r="B12" i="20"/>
  <c r="D12" i="20" s="1"/>
  <c r="B48" i="20"/>
  <c r="D48" i="20" s="1"/>
  <c r="B86" i="20"/>
  <c r="D86" i="20" s="1"/>
  <c r="B130" i="20"/>
  <c r="D130" i="20" s="1"/>
  <c r="B165" i="20"/>
  <c r="D165" i="20" s="1"/>
  <c r="B199" i="20"/>
  <c r="D199" i="20" s="1"/>
  <c r="B233" i="20"/>
  <c r="D233" i="20" s="1"/>
  <c r="B267" i="20"/>
  <c r="D267" i="20" s="1"/>
  <c r="B309" i="20"/>
  <c r="D309" i="20" s="1"/>
  <c r="B344" i="20"/>
  <c r="D344" i="20" s="1"/>
  <c r="B380" i="20"/>
  <c r="D380" i="20" s="1"/>
  <c r="B422" i="20"/>
  <c r="D422" i="20" s="1"/>
  <c r="B24" i="17"/>
  <c r="D24" i="17" s="1"/>
  <c r="K30" i="20"/>
  <c r="K31" i="20" s="1"/>
  <c r="D324" i="16" l="1"/>
  <c r="D307" i="16"/>
  <c r="D236" i="16"/>
  <c r="D253" i="16"/>
  <c r="D248" i="18"/>
  <c r="D231" i="18"/>
  <c r="D214" i="18"/>
  <c r="D197" i="18"/>
  <c r="G433" i="20"/>
  <c r="B433" i="20" s="1"/>
  <c r="G421" i="20"/>
  <c r="G420" i="20" s="1"/>
  <c r="G434" i="20"/>
  <c r="B434" i="20" s="1"/>
  <c r="G426" i="20"/>
  <c r="B426" i="20" s="1"/>
  <c r="D426" i="20" s="1"/>
  <c r="G424" i="20"/>
  <c r="B424" i="20" s="1"/>
  <c r="D424" i="20" s="1"/>
  <c r="G423" i="20"/>
  <c r="G379" i="20"/>
  <c r="B379" i="20" s="1"/>
  <c r="G392" i="20"/>
  <c r="G391" i="20"/>
  <c r="B391" i="20" s="1"/>
  <c r="D391" i="20" s="1"/>
  <c r="G384" i="20"/>
  <c r="B384" i="20" s="1"/>
  <c r="D384" i="20" s="1"/>
  <c r="G382" i="20"/>
  <c r="G381" i="20"/>
  <c r="B381" i="20" s="1"/>
  <c r="D381" i="20" s="1"/>
  <c r="G343" i="20"/>
  <c r="B343" i="20" s="1"/>
  <c r="G346" i="20"/>
  <c r="B346" i="20" s="1"/>
  <c r="D346" i="20" s="1"/>
  <c r="G345" i="20"/>
  <c r="G356" i="20"/>
  <c r="B356" i="20" s="1"/>
  <c r="G355" i="20"/>
  <c r="B355" i="20" s="1"/>
  <c r="D355" i="20" s="1"/>
  <c r="G348" i="20"/>
  <c r="G308" i="20"/>
  <c r="B308" i="20" s="1"/>
  <c r="B307" i="20" s="1"/>
  <c r="G321" i="20"/>
  <c r="G311" i="20"/>
  <c r="B311" i="20" s="1"/>
  <c r="D311" i="20" s="1"/>
  <c r="G310" i="20"/>
  <c r="G307" i="20"/>
  <c r="G320" i="20"/>
  <c r="B320" i="20" s="1"/>
  <c r="D320" i="20" s="1"/>
  <c r="G313" i="20"/>
  <c r="G266" i="20"/>
  <c r="G265" i="20" s="1"/>
  <c r="G279" i="20"/>
  <c r="G278" i="20"/>
  <c r="B278" i="20" s="1"/>
  <c r="D278" i="20" s="1"/>
  <c r="G271" i="20"/>
  <c r="B271" i="20" s="1"/>
  <c r="D271" i="20" s="1"/>
  <c r="G269" i="20"/>
  <c r="G268" i="20"/>
  <c r="G245" i="20"/>
  <c r="B245" i="20" s="1"/>
  <c r="D245" i="20" s="1"/>
  <c r="G237" i="20"/>
  <c r="B237" i="20" s="1"/>
  <c r="D237" i="20" s="1"/>
  <c r="G232" i="20"/>
  <c r="G231" i="20" s="1"/>
  <c r="G234" i="20"/>
  <c r="G244" i="20"/>
  <c r="B244" i="20" s="1"/>
  <c r="G235" i="20"/>
  <c r="B235" i="20" s="1"/>
  <c r="D235" i="20" s="1"/>
  <c r="G198" i="20"/>
  <c r="G197" i="20" s="1"/>
  <c r="G203" i="20"/>
  <c r="G201" i="20"/>
  <c r="B201" i="20" s="1"/>
  <c r="G210" i="20"/>
  <c r="B210" i="20" s="1"/>
  <c r="D210" i="20" s="1"/>
  <c r="G211" i="20"/>
  <c r="B211" i="20" s="1"/>
  <c r="D211" i="20" s="1"/>
  <c r="G200" i="20"/>
  <c r="B200" i="20" s="1"/>
  <c r="D200" i="20" s="1"/>
  <c r="G169" i="20"/>
  <c r="B169" i="20" s="1"/>
  <c r="D169" i="20" s="1"/>
  <c r="G166" i="20"/>
  <c r="B166" i="20" s="1"/>
  <c r="G177" i="20"/>
  <c r="B177" i="20" s="1"/>
  <c r="D177" i="20" s="1"/>
  <c r="G167" i="20"/>
  <c r="B167" i="20" s="1"/>
  <c r="D167" i="20" s="1"/>
  <c r="G164" i="20"/>
  <c r="G163" i="20" s="1"/>
  <c r="G129" i="20"/>
  <c r="G128" i="20" s="1"/>
  <c r="G132" i="20"/>
  <c r="B132" i="20" s="1"/>
  <c r="G131" i="20"/>
  <c r="B131" i="20" s="1"/>
  <c r="G142" i="20"/>
  <c r="B142" i="20" s="1"/>
  <c r="D142" i="20" s="1"/>
  <c r="G134" i="20"/>
  <c r="B134" i="20" s="1"/>
  <c r="D134" i="20" s="1"/>
  <c r="G98" i="20"/>
  <c r="G87" i="20"/>
  <c r="B87" i="20" s="1"/>
  <c r="G88" i="20"/>
  <c r="B88" i="20" s="1"/>
  <c r="D88" i="20" s="1"/>
  <c r="G85" i="20"/>
  <c r="G84" i="20" s="1"/>
  <c r="G97" i="20"/>
  <c r="G90" i="20"/>
  <c r="B90" i="20" s="1"/>
  <c r="D90" i="20" s="1"/>
  <c r="G60" i="20"/>
  <c r="G52" i="20"/>
  <c r="G47" i="20"/>
  <c r="G46" i="20" s="1"/>
  <c r="G50" i="20"/>
  <c r="B50" i="20" s="1"/>
  <c r="G49" i="20"/>
  <c r="B49" i="20" s="1"/>
  <c r="D49" i="20" s="1"/>
  <c r="G11" i="20"/>
  <c r="G10" i="20" s="1"/>
  <c r="G24" i="20"/>
  <c r="B24" i="20" s="1"/>
  <c r="D24" i="20" s="1"/>
  <c r="G23" i="20"/>
  <c r="B23" i="20" s="1"/>
  <c r="D23" i="20" s="1"/>
  <c r="G16" i="20"/>
  <c r="B16" i="20" s="1"/>
  <c r="D16" i="20" s="1"/>
  <c r="G13" i="20"/>
  <c r="B13" i="20" s="1"/>
  <c r="K457" i="20"/>
  <c r="K458" i="20" s="1"/>
  <c r="B436" i="20"/>
  <c r="E432" i="20"/>
  <c r="B429" i="20"/>
  <c r="E429" i="20" s="1"/>
  <c r="B425" i="20"/>
  <c r="D425" i="20" s="1"/>
  <c r="B394" i="20"/>
  <c r="B390" i="20"/>
  <c r="E390" i="20" s="1"/>
  <c r="K387" i="20"/>
  <c r="K388" i="20" s="1"/>
  <c r="B387" i="20"/>
  <c r="E387" i="20" s="1"/>
  <c r="B383" i="20"/>
  <c r="D383" i="20" s="1"/>
  <c r="G378" i="20"/>
  <c r="B358" i="20"/>
  <c r="B354" i="20"/>
  <c r="E354" i="20" s="1"/>
  <c r="K351" i="20"/>
  <c r="K352" i="20" s="1"/>
  <c r="B351" i="20"/>
  <c r="E351" i="20" s="1"/>
  <c r="B347" i="20"/>
  <c r="D347" i="20" s="1"/>
  <c r="B323" i="20"/>
  <c r="B319" i="20"/>
  <c r="E319" i="20" s="1"/>
  <c r="B316" i="20"/>
  <c r="E316" i="20" s="1"/>
  <c r="B312" i="20"/>
  <c r="D312" i="20" s="1"/>
  <c r="K285" i="20"/>
  <c r="K286" i="20" s="1"/>
  <c r="B274" i="20"/>
  <c r="E274" i="20" s="1"/>
  <c r="E282" i="20" s="1"/>
  <c r="B270" i="20"/>
  <c r="D270" i="20" s="1"/>
  <c r="B268" i="20"/>
  <c r="D268" i="20" s="1"/>
  <c r="K251" i="20"/>
  <c r="K252" i="20" s="1"/>
  <c r="B240" i="20"/>
  <c r="E240" i="20" s="1"/>
  <c r="E248" i="20" s="1"/>
  <c r="B236" i="20"/>
  <c r="D236" i="20" s="1"/>
  <c r="K217" i="20"/>
  <c r="K218" i="20" s="1"/>
  <c r="B206" i="20"/>
  <c r="E206" i="20" s="1"/>
  <c r="E214" i="20" s="1"/>
  <c r="B203" i="20"/>
  <c r="B202" i="20"/>
  <c r="D202" i="20" s="1"/>
  <c r="K183" i="20"/>
  <c r="K184" i="20" s="1"/>
  <c r="B176" i="20"/>
  <c r="B172" i="20"/>
  <c r="E172" i="20" s="1"/>
  <c r="E180" i="20" s="1"/>
  <c r="B168" i="20"/>
  <c r="D168" i="20" s="1"/>
  <c r="B141" i="20"/>
  <c r="D141" i="20" s="1"/>
  <c r="B137" i="20"/>
  <c r="E137" i="20" s="1"/>
  <c r="E145" i="20" s="1"/>
  <c r="B133" i="20"/>
  <c r="D133" i="20" s="1"/>
  <c r="B93" i="20"/>
  <c r="E93" i="20" s="1"/>
  <c r="E101" i="20" s="1"/>
  <c r="B89" i="20"/>
  <c r="D89" i="20" s="1"/>
  <c r="K66" i="20"/>
  <c r="K67" i="20" s="1"/>
  <c r="B59" i="20"/>
  <c r="D59" i="20" s="1"/>
  <c r="B55" i="20"/>
  <c r="E55" i="20" s="1"/>
  <c r="E63" i="20" s="1"/>
  <c r="B51" i="20"/>
  <c r="D51" i="20" s="1"/>
  <c r="B19" i="20"/>
  <c r="E19" i="20" s="1"/>
  <c r="E27" i="20" s="1"/>
  <c r="B15" i="20"/>
  <c r="D15" i="20" s="1"/>
  <c r="B14" i="20"/>
  <c r="D14" i="20" s="1"/>
  <c r="E395" i="20" l="1"/>
  <c r="I132" i="20"/>
  <c r="I269" i="20"/>
  <c r="J425" i="20"/>
  <c r="I50" i="20"/>
  <c r="B98" i="20"/>
  <c r="D98" i="20" s="1"/>
  <c r="G214" i="20"/>
  <c r="K104" i="20"/>
  <c r="K105" i="20" s="1"/>
  <c r="D433" i="20"/>
  <c r="B60" i="20"/>
  <c r="D60" i="20" s="1"/>
  <c r="D356" i="20"/>
  <c r="B392" i="20"/>
  <c r="D392" i="20" s="1"/>
  <c r="I201" i="20"/>
  <c r="B129" i="20"/>
  <c r="B128" i="20" s="1"/>
  <c r="B266" i="20"/>
  <c r="D266" i="20" s="1"/>
  <c r="B279" i="20"/>
  <c r="D279" i="20" s="1"/>
  <c r="I235" i="20"/>
  <c r="I88" i="20"/>
  <c r="I167" i="20"/>
  <c r="E359" i="20"/>
  <c r="G27" i="20"/>
  <c r="B11" i="20"/>
  <c r="D11" i="20" s="1"/>
  <c r="I14" i="20"/>
  <c r="B382" i="20"/>
  <c r="D382" i="20" s="1"/>
  <c r="D13" i="20"/>
  <c r="D50" i="20"/>
  <c r="D87" i="20"/>
  <c r="D132" i="20"/>
  <c r="D176" i="20"/>
  <c r="B198" i="20"/>
  <c r="D198" i="20" s="1"/>
  <c r="G248" i="20"/>
  <c r="B232" i="20"/>
  <c r="B269" i="20"/>
  <c r="B310" i="20"/>
  <c r="D310" i="20" s="1"/>
  <c r="B313" i="20"/>
  <c r="D313" i="20" s="1"/>
  <c r="G395" i="20"/>
  <c r="G63" i="20"/>
  <c r="B97" i="20"/>
  <c r="D97" i="20" s="1"/>
  <c r="D131" i="20"/>
  <c r="D166" i="20"/>
  <c r="D203" i="20"/>
  <c r="B345" i="20"/>
  <c r="B348" i="20"/>
  <c r="D348" i="20" s="1"/>
  <c r="B421" i="20"/>
  <c r="G437" i="20"/>
  <c r="E434" i="20"/>
  <c r="E437" i="20" s="1"/>
  <c r="D379" i="20"/>
  <c r="B378" i="20"/>
  <c r="B47" i="20"/>
  <c r="D47" i="20" s="1"/>
  <c r="B52" i="20"/>
  <c r="D52" i="20" s="1"/>
  <c r="G145" i="20"/>
  <c r="G180" i="20"/>
  <c r="B164" i="20"/>
  <c r="D201" i="20"/>
  <c r="B234" i="20"/>
  <c r="D234" i="20" s="1"/>
  <c r="D244" i="20"/>
  <c r="G282" i="20"/>
  <c r="D308" i="20"/>
  <c r="B321" i="20"/>
  <c r="E324" i="20" s="1"/>
  <c r="K316" i="20"/>
  <c r="K317" i="20" s="1"/>
  <c r="B423" i="20"/>
  <c r="D423" i="20" s="1"/>
  <c r="K425" i="20"/>
  <c r="I424" i="20" s="1"/>
  <c r="G324" i="20"/>
  <c r="I384" i="20"/>
  <c r="G163" i="18"/>
  <c r="G164" i="18" s="1"/>
  <c r="G167" i="18"/>
  <c r="B167" i="18" s="1"/>
  <c r="D167" i="18" s="1"/>
  <c r="G169" i="18"/>
  <c r="B169" i="18" s="1"/>
  <c r="G166" i="18"/>
  <c r="B166" i="18" s="1"/>
  <c r="G132" i="18"/>
  <c r="B132" i="18" s="1"/>
  <c r="D132" i="18" s="1"/>
  <c r="G142" i="18"/>
  <c r="G141" i="18"/>
  <c r="G128" i="18"/>
  <c r="G129" i="18" s="1"/>
  <c r="G134" i="18"/>
  <c r="B134" i="18" s="1"/>
  <c r="G131" i="18"/>
  <c r="G98" i="18"/>
  <c r="G97" i="18"/>
  <c r="B97" i="18" s="1"/>
  <c r="D97" i="18" s="1"/>
  <c r="G90" i="18"/>
  <c r="B90" i="18" s="1"/>
  <c r="D90" i="18" s="1"/>
  <c r="G87" i="18"/>
  <c r="B87" i="18" s="1"/>
  <c r="D87" i="18" s="1"/>
  <c r="G88" i="18"/>
  <c r="G84" i="18"/>
  <c r="G85" i="18" s="1"/>
  <c r="G60" i="18"/>
  <c r="G59" i="18"/>
  <c r="G50" i="18"/>
  <c r="B50" i="18" s="1"/>
  <c r="D50" i="18" s="1"/>
  <c r="G52" i="18"/>
  <c r="B52" i="18" s="1"/>
  <c r="D52" i="18" s="1"/>
  <c r="G46" i="18"/>
  <c r="G47" i="18" s="1"/>
  <c r="G49" i="18"/>
  <c r="B49" i="18" s="1"/>
  <c r="G24" i="18"/>
  <c r="G16" i="18"/>
  <c r="B16" i="18" s="1"/>
  <c r="D16" i="18" s="1"/>
  <c r="G14" i="18"/>
  <c r="G13" i="18"/>
  <c r="B13" i="18" s="1"/>
  <c r="D13" i="18" s="1"/>
  <c r="G10" i="18"/>
  <c r="G11" i="18" s="1"/>
  <c r="B693" i="18"/>
  <c r="G691" i="18"/>
  <c r="G690" i="18"/>
  <c r="B690" i="18" s="1"/>
  <c r="E689" i="18"/>
  <c r="B686" i="18"/>
  <c r="E686" i="18" s="1"/>
  <c r="G683" i="18"/>
  <c r="B683" i="18" s="1"/>
  <c r="B682" i="18"/>
  <c r="D682" i="18" s="1"/>
  <c r="B681" i="18"/>
  <c r="D681" i="18" s="1"/>
  <c r="G680" i="18"/>
  <c r="G677" i="18"/>
  <c r="B651" i="18"/>
  <c r="G649" i="18"/>
  <c r="G648" i="18"/>
  <c r="B648" i="18" s="1"/>
  <c r="B647" i="18"/>
  <c r="E647" i="18" s="1"/>
  <c r="K644" i="18"/>
  <c r="K645" i="18" s="1"/>
  <c r="B644" i="18"/>
  <c r="E644" i="18" s="1"/>
  <c r="G641" i="18"/>
  <c r="B641" i="18" s="1"/>
  <c r="B640" i="18"/>
  <c r="D640" i="18" s="1"/>
  <c r="G639" i="18"/>
  <c r="B639" i="18" s="1"/>
  <c r="D639" i="18" s="1"/>
  <c r="G638" i="18"/>
  <c r="B638" i="18" s="1"/>
  <c r="G635" i="18"/>
  <c r="G636" i="18" s="1"/>
  <c r="B615" i="18"/>
  <c r="G613" i="18"/>
  <c r="G612" i="18"/>
  <c r="B612" i="18" s="1"/>
  <c r="D612" i="18" s="1"/>
  <c r="B611" i="18"/>
  <c r="E611" i="18" s="1"/>
  <c r="K608" i="18"/>
  <c r="K609" i="18" s="1"/>
  <c r="B608" i="18"/>
  <c r="E608" i="18" s="1"/>
  <c r="G605" i="18"/>
  <c r="B605" i="18" s="1"/>
  <c r="D605" i="18" s="1"/>
  <c r="B604" i="18"/>
  <c r="D604" i="18" s="1"/>
  <c r="G603" i="18"/>
  <c r="G602" i="18"/>
  <c r="B602" i="18" s="1"/>
  <c r="D602" i="18" s="1"/>
  <c r="G599" i="18"/>
  <c r="G600" i="18" s="1"/>
  <c r="B600" i="18" s="1"/>
  <c r="B580" i="18"/>
  <c r="G578" i="18"/>
  <c r="G577" i="18"/>
  <c r="B577" i="18" s="1"/>
  <c r="B576" i="18"/>
  <c r="E576" i="18" s="1"/>
  <c r="B573" i="18"/>
  <c r="E573" i="18" s="1"/>
  <c r="G570" i="18"/>
  <c r="B570" i="18" s="1"/>
  <c r="D570" i="18" s="1"/>
  <c r="B569" i="18"/>
  <c r="D569" i="18" s="1"/>
  <c r="G568" i="18"/>
  <c r="B568" i="18" s="1"/>
  <c r="G567" i="18"/>
  <c r="B567" i="18" s="1"/>
  <c r="G564" i="18"/>
  <c r="G565" i="18" s="1"/>
  <c r="K542" i="18"/>
  <c r="K543" i="18" s="1"/>
  <c r="G536" i="18"/>
  <c r="G535" i="18"/>
  <c r="B535" i="18" s="1"/>
  <c r="B531" i="18"/>
  <c r="E531" i="18" s="1"/>
  <c r="E539" i="18" s="1"/>
  <c r="G528" i="18"/>
  <c r="B528" i="18" s="1"/>
  <c r="D528" i="18" s="1"/>
  <c r="B527" i="18"/>
  <c r="D527" i="18" s="1"/>
  <c r="G526" i="18"/>
  <c r="B526" i="18" s="1"/>
  <c r="D526" i="18" s="1"/>
  <c r="G525" i="18"/>
  <c r="G522" i="18"/>
  <c r="G523" i="18" s="1"/>
  <c r="K508" i="18"/>
  <c r="K509" i="18" s="1"/>
  <c r="G502" i="18"/>
  <c r="G501" i="18"/>
  <c r="B501" i="18" s="1"/>
  <c r="B497" i="18"/>
  <c r="E497" i="18" s="1"/>
  <c r="E505" i="18" s="1"/>
  <c r="G494" i="18"/>
  <c r="B493" i="18"/>
  <c r="D493" i="18" s="1"/>
  <c r="G492" i="18"/>
  <c r="B492" i="18" s="1"/>
  <c r="G491" i="18"/>
  <c r="B491" i="18" s="1"/>
  <c r="G488" i="18"/>
  <c r="G489" i="18" s="1"/>
  <c r="K474" i="18"/>
  <c r="K475" i="18" s="1"/>
  <c r="G468" i="18"/>
  <c r="G467" i="18"/>
  <c r="B467" i="18" s="1"/>
  <c r="B463" i="18"/>
  <c r="E463" i="18" s="1"/>
  <c r="E471" i="18" s="1"/>
  <c r="K183" i="18"/>
  <c r="K184" i="18" s="1"/>
  <c r="B176" i="18"/>
  <c r="D176" i="18" s="1"/>
  <c r="B172" i="18"/>
  <c r="E172" i="18" s="1"/>
  <c r="E180" i="18" s="1"/>
  <c r="B168" i="18"/>
  <c r="D168" i="18" s="1"/>
  <c r="D166" i="18"/>
  <c r="B137" i="18"/>
  <c r="E137" i="18" s="1"/>
  <c r="E145" i="18" s="1"/>
  <c r="B133" i="18"/>
  <c r="D133" i="18" s="1"/>
  <c r="B93" i="18"/>
  <c r="E93" i="18" s="1"/>
  <c r="E101" i="18" s="1"/>
  <c r="B89" i="18"/>
  <c r="D89" i="18" s="1"/>
  <c r="B55" i="18"/>
  <c r="E55" i="18" s="1"/>
  <c r="E63" i="18" s="1"/>
  <c r="B51" i="18"/>
  <c r="D51" i="18" s="1"/>
  <c r="K30" i="18"/>
  <c r="K31" i="18" s="1"/>
  <c r="B23" i="18"/>
  <c r="D23" i="18" s="1"/>
  <c r="B19" i="18"/>
  <c r="E19" i="18" s="1"/>
  <c r="E27" i="18" s="1"/>
  <c r="B15" i="18"/>
  <c r="D15" i="18" s="1"/>
  <c r="G420" i="17"/>
  <c r="G421" i="17" s="1"/>
  <c r="K104" i="17" s="1"/>
  <c r="K105" i="17" s="1"/>
  <c r="G434" i="17"/>
  <c r="G433" i="17"/>
  <c r="B433" i="17" s="1"/>
  <c r="G426" i="17"/>
  <c r="G378" i="17"/>
  <c r="G379" i="17" s="1"/>
  <c r="B379" i="17" s="1"/>
  <c r="G392" i="17"/>
  <c r="G391" i="17"/>
  <c r="B391" i="17" s="1"/>
  <c r="D391" i="17" s="1"/>
  <c r="G384" i="17"/>
  <c r="B384" i="17" s="1"/>
  <c r="D384" i="17" s="1"/>
  <c r="G382" i="17"/>
  <c r="B382" i="17" s="1"/>
  <c r="D382" i="17" s="1"/>
  <c r="G381" i="17"/>
  <c r="B381" i="17" s="1"/>
  <c r="D381" i="17" s="1"/>
  <c r="B394" i="17"/>
  <c r="B390" i="17"/>
  <c r="E390" i="17" s="1"/>
  <c r="K387" i="17"/>
  <c r="K388" i="17" s="1"/>
  <c r="B387" i="17"/>
  <c r="E387" i="17" s="1"/>
  <c r="B383" i="17"/>
  <c r="D383" i="17" s="1"/>
  <c r="G346" i="17"/>
  <c r="B346" i="17" s="1"/>
  <c r="D346" i="17" s="1"/>
  <c r="G355" i="17"/>
  <c r="B355" i="17" s="1"/>
  <c r="G356" i="17"/>
  <c r="G348" i="17"/>
  <c r="G342" i="17"/>
  <c r="G343" i="17" s="1"/>
  <c r="B343" i="17" s="1"/>
  <c r="G345" i="17"/>
  <c r="B358" i="17"/>
  <c r="B354" i="17"/>
  <c r="E354" i="17" s="1"/>
  <c r="K351" i="17"/>
  <c r="K352" i="17" s="1"/>
  <c r="B351" i="17"/>
  <c r="E351" i="17" s="1"/>
  <c r="B347" i="17"/>
  <c r="D347" i="17" s="1"/>
  <c r="G307" i="17"/>
  <c r="K66" i="17" s="1"/>
  <c r="K67" i="17" s="1"/>
  <c r="G321" i="17"/>
  <c r="G320" i="17"/>
  <c r="G311" i="17"/>
  <c r="B311" i="17" s="1"/>
  <c r="D311" i="17" s="1"/>
  <c r="G310" i="17"/>
  <c r="B310" i="17" s="1"/>
  <c r="D310" i="17" s="1"/>
  <c r="G313" i="17"/>
  <c r="B313" i="17" s="1"/>
  <c r="D313" i="17" s="1"/>
  <c r="G265" i="17"/>
  <c r="G266" i="17" s="1"/>
  <c r="G279" i="17"/>
  <c r="G278" i="17"/>
  <c r="B278" i="17" s="1"/>
  <c r="D278" i="17" s="1"/>
  <c r="G271" i="17"/>
  <c r="B271" i="17" s="1"/>
  <c r="D271" i="17" s="1"/>
  <c r="G269" i="17"/>
  <c r="G268" i="17"/>
  <c r="B268" i="17" s="1"/>
  <c r="D268" i="17" s="1"/>
  <c r="K285" i="17"/>
  <c r="K286" i="17" s="1"/>
  <c r="B274" i="17"/>
  <c r="E274" i="17" s="1"/>
  <c r="E282" i="17" s="1"/>
  <c r="B270" i="17"/>
  <c r="D270" i="17" s="1"/>
  <c r="G231" i="17"/>
  <c r="G232" i="17" s="1"/>
  <c r="G244" i="17"/>
  <c r="B244" i="17" s="1"/>
  <c r="D244" i="17" s="1"/>
  <c r="G235" i="17"/>
  <c r="G234" i="17"/>
  <c r="B234" i="17" s="1"/>
  <c r="D234" i="17" s="1"/>
  <c r="G245" i="17"/>
  <c r="G237" i="17"/>
  <c r="B237" i="17" s="1"/>
  <c r="D237" i="17" s="1"/>
  <c r="K251" i="17"/>
  <c r="K252" i="17" s="1"/>
  <c r="B240" i="17"/>
  <c r="E240" i="17" s="1"/>
  <c r="E248" i="17" s="1"/>
  <c r="B236" i="17"/>
  <c r="D236" i="17" s="1"/>
  <c r="G201" i="17"/>
  <c r="G200" i="17"/>
  <c r="B200" i="17" s="1"/>
  <c r="D200" i="17" s="1"/>
  <c r="G211" i="17"/>
  <c r="G210" i="17"/>
  <c r="B210" i="17" s="1"/>
  <c r="D210" i="17" s="1"/>
  <c r="G203" i="17"/>
  <c r="B203" i="17" s="1"/>
  <c r="D203" i="17" s="1"/>
  <c r="G197" i="17"/>
  <c r="G198" i="17" s="1"/>
  <c r="K217" i="17"/>
  <c r="K218" i="17" s="1"/>
  <c r="B206" i="17"/>
  <c r="E206" i="17" s="1"/>
  <c r="E214" i="17" s="1"/>
  <c r="B202" i="17"/>
  <c r="D202" i="17" s="1"/>
  <c r="G169" i="17"/>
  <c r="G163" i="17"/>
  <c r="G164" i="17" s="1"/>
  <c r="G167" i="17"/>
  <c r="G177" i="17"/>
  <c r="G176" i="17"/>
  <c r="G166" i="17"/>
  <c r="B166" i="17" s="1"/>
  <c r="D166" i="17" s="1"/>
  <c r="K183" i="17"/>
  <c r="K184" i="17" s="1"/>
  <c r="B172" i="17"/>
  <c r="E172" i="17" s="1"/>
  <c r="E180" i="17" s="1"/>
  <c r="B169" i="17"/>
  <c r="D169" i="17" s="1"/>
  <c r="B168" i="17"/>
  <c r="D168" i="17" s="1"/>
  <c r="G128" i="17"/>
  <c r="G129" i="17" s="1"/>
  <c r="G142" i="17"/>
  <c r="G141" i="17"/>
  <c r="B141" i="17" s="1"/>
  <c r="D141" i="17" s="1"/>
  <c r="G134" i="17"/>
  <c r="G132" i="17"/>
  <c r="B132" i="17" s="1"/>
  <c r="D132" i="17" s="1"/>
  <c r="G131" i="17"/>
  <c r="B131" i="17" s="1"/>
  <c r="D131" i="17" s="1"/>
  <c r="G90" i="17"/>
  <c r="G84" i="17"/>
  <c r="G85" i="17" s="1"/>
  <c r="G88" i="17"/>
  <c r="B88" i="17" s="1"/>
  <c r="D88" i="17" s="1"/>
  <c r="G98" i="17"/>
  <c r="G97" i="17"/>
  <c r="B97" i="17" s="1"/>
  <c r="D97" i="17" s="1"/>
  <c r="G87" i="17"/>
  <c r="B93" i="17"/>
  <c r="E93" i="17" s="1"/>
  <c r="E101" i="17" s="1"/>
  <c r="B89" i="17"/>
  <c r="D89" i="17" s="1"/>
  <c r="G59" i="17"/>
  <c r="B59" i="17" s="1"/>
  <c r="D59" i="17" s="1"/>
  <c r="G46" i="17"/>
  <c r="G47" i="17" s="1"/>
  <c r="G60" i="17"/>
  <c r="G49" i="17"/>
  <c r="B49" i="17" s="1"/>
  <c r="D49" i="17" s="1"/>
  <c r="G50" i="17"/>
  <c r="B50" i="17" s="1"/>
  <c r="G52" i="17"/>
  <c r="B55" i="17"/>
  <c r="E55" i="17" s="1"/>
  <c r="E63" i="17" s="1"/>
  <c r="B51" i="17"/>
  <c r="D51" i="17" s="1"/>
  <c r="G10" i="17"/>
  <c r="G16" i="17"/>
  <c r="B16" i="17" s="1"/>
  <c r="D16" i="17" s="1"/>
  <c r="G14" i="17"/>
  <c r="B14" i="17" s="1"/>
  <c r="D14" i="17" s="1"/>
  <c r="G13" i="17"/>
  <c r="B13" i="17" s="1"/>
  <c r="D13" i="17" s="1"/>
  <c r="G11" i="17"/>
  <c r="B11" i="17" s="1"/>
  <c r="K30" i="17"/>
  <c r="K31" i="17" s="1"/>
  <c r="B23" i="17"/>
  <c r="D23" i="17" s="1"/>
  <c r="B19" i="17"/>
  <c r="E19" i="17" s="1"/>
  <c r="E27" i="17" s="1"/>
  <c r="B15" i="17"/>
  <c r="D15" i="17" s="1"/>
  <c r="K457" i="17"/>
  <c r="K458" i="17" s="1"/>
  <c r="B436" i="17"/>
  <c r="E432" i="17"/>
  <c r="B429" i="17"/>
  <c r="E429" i="17" s="1"/>
  <c r="B425" i="17"/>
  <c r="D425" i="17" s="1"/>
  <c r="B424" i="17"/>
  <c r="D424" i="17" s="1"/>
  <c r="G423" i="17"/>
  <c r="B423" i="17" s="1"/>
  <c r="D423" i="17" s="1"/>
  <c r="B323" i="17"/>
  <c r="B321" i="17"/>
  <c r="B320" i="17"/>
  <c r="D320" i="17" s="1"/>
  <c r="B319" i="17"/>
  <c r="E319" i="17" s="1"/>
  <c r="B316" i="17"/>
  <c r="E316" i="17" s="1"/>
  <c r="B312" i="17"/>
  <c r="D312" i="17" s="1"/>
  <c r="B137" i="17"/>
  <c r="E137" i="17" s="1"/>
  <c r="E145" i="17" s="1"/>
  <c r="B134" i="17"/>
  <c r="D134" i="17" s="1"/>
  <c r="B133" i="17"/>
  <c r="D133" i="17" s="1"/>
  <c r="G167" i="16"/>
  <c r="B167" i="16" s="1"/>
  <c r="G163" i="16"/>
  <c r="G164" i="16" s="1"/>
  <c r="B164" i="16" s="1"/>
  <c r="B163" i="16" s="1"/>
  <c r="G166" i="16"/>
  <c r="B166" i="16" s="1"/>
  <c r="D166" i="16" s="1"/>
  <c r="G128" i="16"/>
  <c r="B128" i="16" s="1"/>
  <c r="D128" i="16" s="1"/>
  <c r="G127" i="16"/>
  <c r="B127" i="16" s="1"/>
  <c r="D127" i="16" s="1"/>
  <c r="G124" i="16"/>
  <c r="G125" i="16" s="1"/>
  <c r="G85" i="16"/>
  <c r="G88" i="16"/>
  <c r="G89" i="16"/>
  <c r="B89" i="16" s="1"/>
  <c r="D89" i="16" s="1"/>
  <c r="G53" i="16"/>
  <c r="G49" i="16"/>
  <c r="G50" i="16" s="1"/>
  <c r="G52" i="16"/>
  <c r="G15" i="16"/>
  <c r="G14" i="16"/>
  <c r="G11" i="16"/>
  <c r="G12" i="16" s="1"/>
  <c r="B12" i="16" s="1"/>
  <c r="B694" i="16"/>
  <c r="G692" i="16"/>
  <c r="B692" i="16" s="1"/>
  <c r="G691" i="16"/>
  <c r="B691" i="16" s="1"/>
  <c r="D691" i="16" s="1"/>
  <c r="B690" i="16"/>
  <c r="E690" i="16" s="1"/>
  <c r="B687" i="16"/>
  <c r="E687" i="16" s="1"/>
  <c r="B684" i="16"/>
  <c r="D684" i="16" s="1"/>
  <c r="B683" i="16"/>
  <c r="D683" i="16" s="1"/>
  <c r="G682" i="16"/>
  <c r="B682" i="16" s="1"/>
  <c r="G681" i="16"/>
  <c r="B681" i="16" s="1"/>
  <c r="D681" i="16" s="1"/>
  <c r="I680" i="16"/>
  <c r="G678" i="16"/>
  <c r="B655" i="16"/>
  <c r="G653" i="16"/>
  <c r="B653" i="16" s="1"/>
  <c r="D653" i="16" s="1"/>
  <c r="G652" i="16"/>
  <c r="B652" i="16" s="1"/>
  <c r="B651" i="16"/>
  <c r="E651" i="16" s="1"/>
  <c r="B648" i="16"/>
  <c r="E648" i="16" s="1"/>
  <c r="B645" i="16"/>
  <c r="D645" i="16" s="1"/>
  <c r="I644" i="16"/>
  <c r="B644" i="16"/>
  <c r="D644" i="16" s="1"/>
  <c r="G643" i="16"/>
  <c r="B643" i="16" s="1"/>
  <c r="G642" i="16"/>
  <c r="B642" i="16" s="1"/>
  <c r="D642" i="16" s="1"/>
  <c r="G639" i="16"/>
  <c r="G640" i="16" s="1"/>
  <c r="B619" i="16"/>
  <c r="G617" i="16"/>
  <c r="G616" i="16"/>
  <c r="B616" i="16" s="1"/>
  <c r="D616" i="16" s="1"/>
  <c r="B615" i="16"/>
  <c r="E615" i="16" s="1"/>
  <c r="B612" i="16"/>
  <c r="E612" i="16" s="1"/>
  <c r="B609" i="16"/>
  <c r="D609" i="16" s="1"/>
  <c r="B608" i="16"/>
  <c r="D608" i="16" s="1"/>
  <c r="G607" i="16"/>
  <c r="B607" i="16" s="1"/>
  <c r="G606" i="16"/>
  <c r="B606" i="16" s="1"/>
  <c r="D606" i="16" s="1"/>
  <c r="G603" i="16"/>
  <c r="B585" i="16"/>
  <c r="G583" i="16"/>
  <c r="B583" i="16" s="1"/>
  <c r="G582" i="16"/>
  <c r="B582" i="16" s="1"/>
  <c r="D582" i="16" s="1"/>
  <c r="B581" i="16"/>
  <c r="E581" i="16" s="1"/>
  <c r="B578" i="16"/>
  <c r="E578" i="16" s="1"/>
  <c r="B575" i="16"/>
  <c r="D575" i="16" s="1"/>
  <c r="B574" i="16"/>
  <c r="D574" i="16" s="1"/>
  <c r="G573" i="16"/>
  <c r="B573" i="16" s="1"/>
  <c r="G572" i="16"/>
  <c r="B572" i="16" s="1"/>
  <c r="D572" i="16" s="1"/>
  <c r="G569" i="16"/>
  <c r="G570" i="16" s="1"/>
  <c r="B570" i="16" s="1"/>
  <c r="B549" i="16"/>
  <c r="G547" i="16"/>
  <c r="B547" i="16" s="1"/>
  <c r="G546" i="16"/>
  <c r="B546" i="16" s="1"/>
  <c r="D546" i="16" s="1"/>
  <c r="B545" i="16"/>
  <c r="E545" i="16" s="1"/>
  <c r="B542" i="16"/>
  <c r="E542" i="16" s="1"/>
  <c r="B539" i="16"/>
  <c r="D539" i="16" s="1"/>
  <c r="B538" i="16"/>
  <c r="D538" i="16" s="1"/>
  <c r="G537" i="16"/>
  <c r="B537" i="16" s="1"/>
  <c r="G536" i="16"/>
  <c r="G533" i="16"/>
  <c r="G534" i="16" s="1"/>
  <c r="B534" i="16" s="1"/>
  <c r="B514" i="16"/>
  <c r="G512" i="16"/>
  <c r="B512" i="16" s="1"/>
  <c r="G511" i="16"/>
  <c r="B511" i="16" s="1"/>
  <c r="D511" i="16" s="1"/>
  <c r="B510" i="16"/>
  <c r="E510" i="16" s="1"/>
  <c r="B507" i="16"/>
  <c r="E507" i="16" s="1"/>
  <c r="B504" i="16"/>
  <c r="D504" i="16" s="1"/>
  <c r="B503" i="16"/>
  <c r="D503" i="16" s="1"/>
  <c r="G502" i="16"/>
  <c r="B502" i="16" s="1"/>
  <c r="G501" i="16"/>
  <c r="G498" i="16"/>
  <c r="G499" i="16" s="1"/>
  <c r="B499" i="16" s="1"/>
  <c r="B480" i="16"/>
  <c r="G478" i="16"/>
  <c r="B478" i="16" s="1"/>
  <c r="G477" i="16"/>
  <c r="B477" i="16" s="1"/>
  <c r="D477" i="16" s="1"/>
  <c r="B476" i="16"/>
  <c r="E476" i="16" s="1"/>
  <c r="B473" i="16"/>
  <c r="E473" i="16" s="1"/>
  <c r="B470" i="16"/>
  <c r="D470" i="16" s="1"/>
  <c r="I469" i="16"/>
  <c r="B469" i="16"/>
  <c r="D469" i="16" s="1"/>
  <c r="G468" i="16"/>
  <c r="B468" i="16"/>
  <c r="D468" i="16" s="1"/>
  <c r="G467" i="16"/>
  <c r="B467" i="16" s="1"/>
  <c r="G464" i="16"/>
  <c r="G465" i="16" s="1"/>
  <c r="B179" i="16"/>
  <c r="B177" i="16"/>
  <c r="D177" i="16" s="1"/>
  <c r="B176" i="16"/>
  <c r="D176" i="16" s="1"/>
  <c r="B175" i="16"/>
  <c r="E175" i="16" s="1"/>
  <c r="B172" i="16"/>
  <c r="E172" i="16" s="1"/>
  <c r="B169" i="16"/>
  <c r="D169" i="16" s="1"/>
  <c r="B168" i="16"/>
  <c r="D168" i="16" s="1"/>
  <c r="B140" i="16"/>
  <c r="B138" i="16"/>
  <c r="D138" i="16" s="1"/>
  <c r="B137" i="16"/>
  <c r="D137" i="16" s="1"/>
  <c r="B136" i="16"/>
  <c r="E136" i="16" s="1"/>
  <c r="B133" i="16"/>
  <c r="E133" i="16" s="1"/>
  <c r="B130" i="16"/>
  <c r="D130" i="16" s="1"/>
  <c r="B129" i="16"/>
  <c r="D129" i="16" s="1"/>
  <c r="B101" i="16"/>
  <c r="B99" i="16"/>
  <c r="D99" i="16" s="1"/>
  <c r="B98" i="16"/>
  <c r="D98" i="16" s="1"/>
  <c r="B97" i="16"/>
  <c r="E97" i="16" s="1"/>
  <c r="B94" i="16"/>
  <c r="E94" i="16" s="1"/>
  <c r="B91" i="16"/>
  <c r="D91" i="16" s="1"/>
  <c r="I90" i="16"/>
  <c r="B90" i="16"/>
  <c r="D90" i="16" s="1"/>
  <c r="B88" i="16"/>
  <c r="D88" i="16" s="1"/>
  <c r="B65" i="16"/>
  <c r="B63" i="16"/>
  <c r="D63" i="16" s="1"/>
  <c r="B62" i="16"/>
  <c r="D62" i="16" s="1"/>
  <c r="B61" i="16"/>
  <c r="E61" i="16" s="1"/>
  <c r="B58" i="16"/>
  <c r="E58" i="16" s="1"/>
  <c r="B55" i="16"/>
  <c r="D55" i="16" s="1"/>
  <c r="B54" i="16"/>
  <c r="D54" i="16" s="1"/>
  <c r="B52" i="16"/>
  <c r="D52" i="16" s="1"/>
  <c r="B27" i="16"/>
  <c r="B25" i="16"/>
  <c r="D25" i="16" s="1"/>
  <c r="B24" i="16"/>
  <c r="D24" i="16" s="1"/>
  <c r="B23" i="16"/>
  <c r="E23" i="16" s="1"/>
  <c r="I20" i="16"/>
  <c r="B20" i="16"/>
  <c r="E20" i="16" s="1"/>
  <c r="B17" i="16"/>
  <c r="D17" i="16" s="1"/>
  <c r="B16" i="16"/>
  <c r="D16" i="16" s="1"/>
  <c r="G417" i="15"/>
  <c r="G418" i="15" s="1"/>
  <c r="G420" i="15"/>
  <c r="G431" i="15"/>
  <c r="B431" i="15" s="1"/>
  <c r="G430" i="15"/>
  <c r="G421" i="15"/>
  <c r="B421" i="15" s="1"/>
  <c r="D421" i="15" s="1"/>
  <c r="G392" i="15"/>
  <c r="G378" i="15"/>
  <c r="G379" i="15" s="1"/>
  <c r="G381" i="15"/>
  <c r="B381" i="15" s="1"/>
  <c r="D381" i="15" s="1"/>
  <c r="G382" i="15"/>
  <c r="G391" i="15"/>
  <c r="G356" i="15"/>
  <c r="G345" i="15"/>
  <c r="B345" i="15" s="1"/>
  <c r="D345" i="15" s="1"/>
  <c r="G342" i="15"/>
  <c r="G343" i="15" s="1"/>
  <c r="G355" i="15"/>
  <c r="G346" i="15"/>
  <c r="B346" i="15" s="1"/>
  <c r="G321" i="15"/>
  <c r="G312" i="15"/>
  <c r="B312" i="15" s="1"/>
  <c r="G308" i="15"/>
  <c r="G309" i="15" s="1"/>
  <c r="G311" i="15"/>
  <c r="B311" i="15" s="1"/>
  <c r="D311" i="15" s="1"/>
  <c r="G322" i="15"/>
  <c r="G286" i="15"/>
  <c r="B286" i="15" s="1"/>
  <c r="D286" i="15" s="1"/>
  <c r="G285" i="15"/>
  <c r="G276" i="15"/>
  <c r="G275" i="15"/>
  <c r="G272" i="15"/>
  <c r="G273" i="15" s="1"/>
  <c r="G250" i="15"/>
  <c r="B250" i="15" s="1"/>
  <c r="D250" i="15" s="1"/>
  <c r="G251" i="15"/>
  <c r="B251" i="15" s="1"/>
  <c r="D251" i="15" s="1"/>
  <c r="G241" i="15"/>
  <c r="G240" i="15"/>
  <c r="B240" i="15" s="1"/>
  <c r="D240" i="15" s="1"/>
  <c r="G237" i="15"/>
  <c r="G238" i="15" s="1"/>
  <c r="G207" i="15"/>
  <c r="G217" i="15"/>
  <c r="B217" i="15" s="1"/>
  <c r="G216" i="15"/>
  <c r="B216" i="15" s="1"/>
  <c r="D216" i="15" s="1"/>
  <c r="G203" i="15"/>
  <c r="G204" i="15" s="1"/>
  <c r="G206" i="15"/>
  <c r="B206" i="15" s="1"/>
  <c r="G177" i="15"/>
  <c r="B177" i="15" s="1"/>
  <c r="D177" i="15" s="1"/>
  <c r="G167" i="15"/>
  <c r="B167" i="15" s="1"/>
  <c r="D167" i="15" s="1"/>
  <c r="G166" i="15"/>
  <c r="G163" i="15"/>
  <c r="G138" i="15"/>
  <c r="B138" i="15" s="1"/>
  <c r="G128" i="15"/>
  <c r="G124" i="15"/>
  <c r="G127" i="15"/>
  <c r="B127" i="15" s="1"/>
  <c r="D127" i="15" s="1"/>
  <c r="G89" i="15"/>
  <c r="B89" i="15" s="1"/>
  <c r="D89" i="15" s="1"/>
  <c r="G88" i="15"/>
  <c r="G85" i="15"/>
  <c r="G86" i="15" s="1"/>
  <c r="G49" i="15"/>
  <c r="G50" i="15" s="1"/>
  <c r="G53" i="15"/>
  <c r="B53" i="15" s="1"/>
  <c r="G52" i="15"/>
  <c r="B52" i="15" s="1"/>
  <c r="D52" i="15" s="1"/>
  <c r="G99" i="15"/>
  <c r="B99" i="15" s="1"/>
  <c r="G15" i="15"/>
  <c r="B15" i="15" s="1"/>
  <c r="D15" i="15" s="1"/>
  <c r="G14" i="15"/>
  <c r="B14" i="15" s="1"/>
  <c r="D14" i="15" s="1"/>
  <c r="G11" i="15"/>
  <c r="G12" i="15" s="1"/>
  <c r="B433" i="15"/>
  <c r="B429" i="15"/>
  <c r="E429" i="15" s="1"/>
  <c r="B426" i="15"/>
  <c r="E426" i="15" s="1"/>
  <c r="B423" i="15"/>
  <c r="D423" i="15" s="1"/>
  <c r="B422" i="15"/>
  <c r="D422" i="15" s="1"/>
  <c r="I419" i="15"/>
  <c r="B394" i="15"/>
  <c r="B392" i="15"/>
  <c r="D392" i="15" s="1"/>
  <c r="B390" i="15"/>
  <c r="E390" i="15" s="1"/>
  <c r="B387" i="15"/>
  <c r="E387" i="15" s="1"/>
  <c r="B384" i="15"/>
  <c r="D384" i="15" s="1"/>
  <c r="I383" i="15"/>
  <c r="B383" i="15"/>
  <c r="D383" i="15" s="1"/>
  <c r="B358" i="15"/>
  <c r="B356" i="15"/>
  <c r="D356" i="15" s="1"/>
  <c r="B354" i="15"/>
  <c r="E354" i="15" s="1"/>
  <c r="B351" i="15"/>
  <c r="E351" i="15" s="1"/>
  <c r="B348" i="15"/>
  <c r="D348" i="15" s="1"/>
  <c r="B347" i="15"/>
  <c r="D347" i="15" s="1"/>
  <c r="B324" i="15"/>
  <c r="B320" i="15"/>
  <c r="E320" i="15" s="1"/>
  <c r="B317" i="15"/>
  <c r="E317" i="15" s="1"/>
  <c r="B314" i="15"/>
  <c r="D314" i="15" s="1"/>
  <c r="B313" i="15"/>
  <c r="D313" i="15" s="1"/>
  <c r="B288" i="15"/>
  <c r="B285" i="15"/>
  <c r="B284" i="15"/>
  <c r="E284" i="15" s="1"/>
  <c r="B281" i="15"/>
  <c r="E281" i="15" s="1"/>
  <c r="B278" i="15"/>
  <c r="D278" i="15" s="1"/>
  <c r="B277" i="15"/>
  <c r="D277" i="15" s="1"/>
  <c r="B276" i="15"/>
  <c r="D276" i="15" s="1"/>
  <c r="B253" i="15"/>
  <c r="B249" i="15"/>
  <c r="E249" i="15" s="1"/>
  <c r="B246" i="15"/>
  <c r="E246" i="15" s="1"/>
  <c r="B243" i="15"/>
  <c r="D243" i="15" s="1"/>
  <c r="B242" i="15"/>
  <c r="D242" i="15" s="1"/>
  <c r="B219" i="15"/>
  <c r="B215" i="15"/>
  <c r="E215" i="15" s="1"/>
  <c r="B212" i="15"/>
  <c r="E212" i="15" s="1"/>
  <c r="B209" i="15"/>
  <c r="D209" i="15" s="1"/>
  <c r="I208" i="15"/>
  <c r="B208" i="15"/>
  <c r="D208" i="15" s="1"/>
  <c r="B179" i="15"/>
  <c r="B176" i="15"/>
  <c r="D176" i="15" s="1"/>
  <c r="B175" i="15"/>
  <c r="E175" i="15" s="1"/>
  <c r="B172" i="15"/>
  <c r="E172" i="15" s="1"/>
  <c r="B169" i="15"/>
  <c r="D169" i="15" s="1"/>
  <c r="B168" i="15"/>
  <c r="D168" i="15" s="1"/>
  <c r="G164" i="15"/>
  <c r="B140" i="15"/>
  <c r="B137" i="15"/>
  <c r="D137" i="15" s="1"/>
  <c r="B136" i="15"/>
  <c r="E136" i="15" s="1"/>
  <c r="B133" i="15"/>
  <c r="E133" i="15" s="1"/>
  <c r="B130" i="15"/>
  <c r="D130" i="15" s="1"/>
  <c r="B129" i="15"/>
  <c r="D129" i="15" s="1"/>
  <c r="G125" i="15"/>
  <c r="B101" i="15"/>
  <c r="B98" i="15"/>
  <c r="D98" i="15" s="1"/>
  <c r="B97" i="15"/>
  <c r="E97" i="15" s="1"/>
  <c r="B94" i="15"/>
  <c r="E94" i="15" s="1"/>
  <c r="B91" i="15"/>
  <c r="D91" i="15" s="1"/>
  <c r="I90" i="15"/>
  <c r="B90" i="15"/>
  <c r="D90" i="15" s="1"/>
  <c r="B88" i="15"/>
  <c r="B65" i="15"/>
  <c r="B63" i="15"/>
  <c r="D63" i="15" s="1"/>
  <c r="B62" i="15"/>
  <c r="D62" i="15" s="1"/>
  <c r="B61" i="15"/>
  <c r="E61" i="15" s="1"/>
  <c r="B58" i="15"/>
  <c r="E58" i="15" s="1"/>
  <c r="B55" i="15"/>
  <c r="D55" i="15" s="1"/>
  <c r="B54" i="15"/>
  <c r="D54" i="15" s="1"/>
  <c r="B27" i="15"/>
  <c r="B25" i="15"/>
  <c r="D25" i="15" s="1"/>
  <c r="B24" i="15"/>
  <c r="D24" i="15" s="1"/>
  <c r="B23" i="15"/>
  <c r="E23" i="15" s="1"/>
  <c r="I20" i="15"/>
  <c r="B20" i="15"/>
  <c r="E20" i="15" s="1"/>
  <c r="B17" i="15"/>
  <c r="D17" i="15" s="1"/>
  <c r="B16" i="15"/>
  <c r="D16" i="15" s="1"/>
  <c r="B145" i="20" l="1"/>
  <c r="C150" i="20" s="1"/>
  <c r="D129" i="20"/>
  <c r="D128" i="20" s="1"/>
  <c r="I348" i="17"/>
  <c r="B282" i="20"/>
  <c r="C287" i="20" s="1"/>
  <c r="G308" i="17"/>
  <c r="B308" i="17" s="1"/>
  <c r="E102" i="15"/>
  <c r="B265" i="20"/>
  <c r="G656" i="16"/>
  <c r="E289" i="15"/>
  <c r="G434" i="15"/>
  <c r="I89" i="16"/>
  <c r="I88" i="17"/>
  <c r="I607" i="16"/>
  <c r="I609" i="16" s="1"/>
  <c r="K66" i="18"/>
  <c r="K67" i="18" s="1"/>
  <c r="K682" i="18"/>
  <c r="I680" i="18" s="1"/>
  <c r="G66" i="15"/>
  <c r="G604" i="16"/>
  <c r="B604" i="16" s="1"/>
  <c r="B603" i="16" s="1"/>
  <c r="I53" i="16"/>
  <c r="I54" i="16" s="1"/>
  <c r="I128" i="16"/>
  <c r="E515" i="16"/>
  <c r="B501" i="16"/>
  <c r="D501" i="16" s="1"/>
  <c r="E695" i="16"/>
  <c r="E395" i="15"/>
  <c r="E586" i="16"/>
  <c r="D138" i="15"/>
  <c r="B245" i="17"/>
  <c r="D245" i="17" s="1"/>
  <c r="D321" i="20"/>
  <c r="D324" i="20" s="1"/>
  <c r="D99" i="15"/>
  <c r="I21" i="16"/>
  <c r="B53" i="16"/>
  <c r="D53" i="16" s="1"/>
  <c r="B536" i="16"/>
  <c r="D536" i="16" s="1"/>
  <c r="D537" i="16"/>
  <c r="I682" i="16"/>
  <c r="I683" i="16" s="1"/>
  <c r="D433" i="17"/>
  <c r="B98" i="17"/>
  <c r="D98" i="17" s="1"/>
  <c r="B142" i="17"/>
  <c r="D142" i="17" s="1"/>
  <c r="D321" i="17"/>
  <c r="B434" i="17"/>
  <c r="D434" i="17" s="1"/>
  <c r="G101" i="18"/>
  <c r="G180" i="15"/>
  <c r="G325" i="15"/>
  <c r="I643" i="16"/>
  <c r="I645" i="16" s="1"/>
  <c r="D652" i="16"/>
  <c r="B279" i="17"/>
  <c r="D279" i="17" s="1"/>
  <c r="I50" i="18"/>
  <c r="B60" i="17"/>
  <c r="D60" i="17" s="1"/>
  <c r="G395" i="15"/>
  <c r="G66" i="16"/>
  <c r="E481" i="16"/>
  <c r="D502" i="16"/>
  <c r="E550" i="16"/>
  <c r="D573" i="16"/>
  <c r="D607" i="16"/>
  <c r="E620" i="16"/>
  <c r="B617" i="16"/>
  <c r="D617" i="16" s="1"/>
  <c r="B640" i="16"/>
  <c r="B639" i="16" s="1"/>
  <c r="E656" i="16"/>
  <c r="B177" i="17"/>
  <c r="D177" i="17" s="1"/>
  <c r="B211" i="17"/>
  <c r="D211" i="17" s="1"/>
  <c r="D421" i="20"/>
  <c r="D437" i="20" s="1"/>
  <c r="B437" i="20"/>
  <c r="B444" i="20" s="1"/>
  <c r="K573" i="18"/>
  <c r="K574" i="18" s="1"/>
  <c r="D501" i="18"/>
  <c r="I167" i="18"/>
  <c r="B164" i="18"/>
  <c r="D164" i="18" s="1"/>
  <c r="D567" i="18"/>
  <c r="G505" i="18"/>
  <c r="I492" i="18"/>
  <c r="B24" i="18"/>
  <c r="D24" i="18" s="1"/>
  <c r="B98" i="18"/>
  <c r="D98" i="18" s="1"/>
  <c r="B177" i="18"/>
  <c r="D177" i="18" s="1"/>
  <c r="G471" i="18"/>
  <c r="B536" i="18"/>
  <c r="D536" i="18" s="1"/>
  <c r="D568" i="18"/>
  <c r="B613" i="18"/>
  <c r="D613" i="18" s="1"/>
  <c r="D683" i="18"/>
  <c r="B142" i="18"/>
  <c r="D142" i="18" s="1"/>
  <c r="E652" i="18"/>
  <c r="D648" i="18"/>
  <c r="B680" i="18"/>
  <c r="D680" i="18" s="1"/>
  <c r="B691" i="18"/>
  <c r="D691" i="18" s="1"/>
  <c r="B60" i="18"/>
  <c r="D60" i="18" s="1"/>
  <c r="B468" i="18"/>
  <c r="D468" i="18" s="1"/>
  <c r="D491" i="18"/>
  <c r="B502" i="18"/>
  <c r="D502" i="18" s="1"/>
  <c r="I526" i="18"/>
  <c r="E581" i="18"/>
  <c r="B578" i="18"/>
  <c r="D578" i="18" s="1"/>
  <c r="B603" i="18"/>
  <c r="D603" i="18" s="1"/>
  <c r="B649" i="18"/>
  <c r="D649" i="18" s="1"/>
  <c r="D355" i="17"/>
  <c r="G145" i="17"/>
  <c r="B395" i="20"/>
  <c r="C401" i="20" s="1"/>
  <c r="I421" i="20"/>
  <c r="D269" i="20"/>
  <c r="D282" i="20" s="1"/>
  <c r="D145" i="20"/>
  <c r="D10" i="20"/>
  <c r="D27" i="20"/>
  <c r="D46" i="20"/>
  <c r="D63" i="20"/>
  <c r="D345" i="20"/>
  <c r="D197" i="20"/>
  <c r="D214" i="20"/>
  <c r="D265" i="20"/>
  <c r="B214" i="20"/>
  <c r="C219" i="20" s="1"/>
  <c r="B197" i="20"/>
  <c r="B180" i="20"/>
  <c r="C185" i="20" s="1"/>
  <c r="B163" i="20"/>
  <c r="D164" i="20"/>
  <c r="D307" i="20"/>
  <c r="D378" i="20"/>
  <c r="D395" i="20"/>
  <c r="J437" i="20"/>
  <c r="K408" i="20"/>
  <c r="K409" i="20" s="1"/>
  <c r="B324" i="20"/>
  <c r="C330" i="20" s="1"/>
  <c r="B63" i="20"/>
  <c r="C69" i="20" s="1"/>
  <c r="B46" i="20"/>
  <c r="B10" i="20"/>
  <c r="B27" i="20"/>
  <c r="C33" i="20" s="1"/>
  <c r="J324" i="20"/>
  <c r="K148" i="20"/>
  <c r="K149" i="20" s="1"/>
  <c r="I423" i="20"/>
  <c r="B420" i="20"/>
  <c r="D232" i="20"/>
  <c r="B231" i="20"/>
  <c r="B248" i="20"/>
  <c r="C253" i="20" s="1"/>
  <c r="B85" i="18"/>
  <c r="D85" i="18" s="1"/>
  <c r="G145" i="18"/>
  <c r="I145" i="18" s="1"/>
  <c r="B129" i="18"/>
  <c r="D129" i="18" s="1"/>
  <c r="I132" i="18"/>
  <c r="G180" i="18"/>
  <c r="G27" i="18"/>
  <c r="B11" i="18"/>
  <c r="G63" i="18"/>
  <c r="I63" i="18" s="1"/>
  <c r="B47" i="18"/>
  <c r="D47" i="18" s="1"/>
  <c r="I14" i="18"/>
  <c r="D49" i="18"/>
  <c r="I88" i="18"/>
  <c r="D169" i="18"/>
  <c r="B489" i="18"/>
  <c r="G539" i="18"/>
  <c r="B523" i="18"/>
  <c r="B14" i="18"/>
  <c r="D14" i="18" s="1"/>
  <c r="B59" i="18"/>
  <c r="D59" i="18" s="1"/>
  <c r="B88" i="18"/>
  <c r="D88" i="18" s="1"/>
  <c r="B141" i="18"/>
  <c r="D141" i="18" s="1"/>
  <c r="B494" i="18"/>
  <c r="D494" i="18" s="1"/>
  <c r="B565" i="18"/>
  <c r="D565" i="18" s="1"/>
  <c r="G581" i="18"/>
  <c r="B599" i="18"/>
  <c r="G652" i="18"/>
  <c r="B636" i="18"/>
  <c r="D636" i="18" s="1"/>
  <c r="E694" i="18"/>
  <c r="B131" i="18"/>
  <c r="D131" i="18" s="1"/>
  <c r="D134" i="18"/>
  <c r="D467" i="18"/>
  <c r="D492" i="18"/>
  <c r="B525" i="18"/>
  <c r="D525" i="18" s="1"/>
  <c r="D535" i="18"/>
  <c r="D577" i="18"/>
  <c r="D600" i="18"/>
  <c r="E616" i="18"/>
  <c r="D638" i="18"/>
  <c r="D641" i="18"/>
  <c r="G678" i="18"/>
  <c r="D690" i="18"/>
  <c r="I605" i="18"/>
  <c r="G616" i="18"/>
  <c r="J616" i="18" s="1"/>
  <c r="I641" i="18"/>
  <c r="J425" i="17"/>
  <c r="I384" i="17"/>
  <c r="G395" i="17"/>
  <c r="B392" i="17"/>
  <c r="E395" i="17" s="1"/>
  <c r="D343" i="17"/>
  <c r="G359" i="17"/>
  <c r="J359" i="17" s="1"/>
  <c r="B345" i="17"/>
  <c r="D345" i="17" s="1"/>
  <c r="B348" i="17"/>
  <c r="D348" i="17" s="1"/>
  <c r="B356" i="17"/>
  <c r="E359" i="17" s="1"/>
  <c r="B266" i="17"/>
  <c r="D266" i="17" s="1"/>
  <c r="I269" i="17"/>
  <c r="G282" i="17"/>
  <c r="B269" i="17"/>
  <c r="D269" i="17" s="1"/>
  <c r="B232" i="17"/>
  <c r="D232" i="17" s="1"/>
  <c r="I235" i="17"/>
  <c r="G248" i="17"/>
  <c r="B235" i="17"/>
  <c r="D235" i="17" s="1"/>
  <c r="B198" i="17"/>
  <c r="D198" i="17" s="1"/>
  <c r="I201" i="17"/>
  <c r="G214" i="17"/>
  <c r="B201" i="17"/>
  <c r="D201" i="17" s="1"/>
  <c r="I167" i="17"/>
  <c r="G180" i="17"/>
  <c r="B164" i="17"/>
  <c r="D164" i="17" s="1"/>
  <c r="B176" i="17"/>
  <c r="D176" i="17" s="1"/>
  <c r="B167" i="17"/>
  <c r="D167" i="17" s="1"/>
  <c r="E437" i="17"/>
  <c r="B129" i="17"/>
  <c r="D129" i="17" s="1"/>
  <c r="I132" i="17"/>
  <c r="B90" i="17"/>
  <c r="D90" i="17" s="1"/>
  <c r="G101" i="17"/>
  <c r="B85" i="17"/>
  <c r="B87" i="17"/>
  <c r="D87" i="17" s="1"/>
  <c r="I50" i="17"/>
  <c r="G63" i="17"/>
  <c r="D50" i="17"/>
  <c r="B47" i="17"/>
  <c r="B52" i="17"/>
  <c r="D52" i="17" s="1"/>
  <c r="I14" i="17"/>
  <c r="B27" i="17"/>
  <c r="C33" i="17" s="1"/>
  <c r="D11" i="17"/>
  <c r="B10" i="17"/>
  <c r="G27" i="17"/>
  <c r="K425" i="17"/>
  <c r="I423" i="17" s="1"/>
  <c r="K316" i="17"/>
  <c r="K317" i="17" s="1"/>
  <c r="E324" i="17"/>
  <c r="G437" i="17"/>
  <c r="B426" i="17"/>
  <c r="D426" i="17" s="1"/>
  <c r="D308" i="17"/>
  <c r="G324" i="17"/>
  <c r="B421" i="17"/>
  <c r="D421" i="17" s="1"/>
  <c r="E180" i="16"/>
  <c r="G180" i="16"/>
  <c r="E141" i="16"/>
  <c r="E66" i="16"/>
  <c r="B533" i="16"/>
  <c r="B11" i="16"/>
  <c r="G481" i="16"/>
  <c r="B465" i="16"/>
  <c r="D465" i="16" s="1"/>
  <c r="B125" i="16"/>
  <c r="G141" i="16"/>
  <c r="E28" i="16"/>
  <c r="E102" i="16"/>
  <c r="B498" i="16"/>
  <c r="B586" i="16"/>
  <c r="C593" i="16" s="1"/>
  <c r="B569" i="16"/>
  <c r="B14" i="16"/>
  <c r="D14" i="16" s="1"/>
  <c r="B15" i="16"/>
  <c r="D15" i="16" s="1"/>
  <c r="I19" i="16"/>
  <c r="B50" i="16"/>
  <c r="D50" i="16" s="1"/>
  <c r="D12" i="16"/>
  <c r="K19" i="16"/>
  <c r="I15" i="16" s="1"/>
  <c r="G86" i="16"/>
  <c r="D167" i="16"/>
  <c r="B180" i="16"/>
  <c r="C187" i="16" s="1"/>
  <c r="D467" i="16"/>
  <c r="D478" i="16"/>
  <c r="D499" i="16"/>
  <c r="D512" i="16"/>
  <c r="D534" i="16"/>
  <c r="D547" i="16"/>
  <c r="D570" i="16"/>
  <c r="D583" i="16"/>
  <c r="D643" i="16"/>
  <c r="D682" i="16"/>
  <c r="D692" i="16"/>
  <c r="I468" i="16"/>
  <c r="I470" i="16" s="1"/>
  <c r="G28" i="16"/>
  <c r="D164" i="16"/>
  <c r="G515" i="16"/>
  <c r="G550" i="16"/>
  <c r="G586" i="16"/>
  <c r="G679" i="16"/>
  <c r="G359" i="15"/>
  <c r="E254" i="15"/>
  <c r="B238" i="15"/>
  <c r="B237" i="15" s="1"/>
  <c r="G141" i="15"/>
  <c r="B125" i="15"/>
  <c r="B124" i="15" s="1"/>
  <c r="E220" i="15"/>
  <c r="D53" i="15"/>
  <c r="B207" i="15"/>
  <c r="D207" i="15" s="1"/>
  <c r="E66" i="15"/>
  <c r="I128" i="15"/>
  <c r="D217" i="15"/>
  <c r="D285" i="15"/>
  <c r="D312" i="15"/>
  <c r="D88" i="15"/>
  <c r="B321" i="15"/>
  <c r="D321" i="15" s="1"/>
  <c r="I382" i="15"/>
  <c r="I384" i="15" s="1"/>
  <c r="D206" i="15"/>
  <c r="E325" i="15"/>
  <c r="D346" i="15"/>
  <c r="B379" i="15"/>
  <c r="B378" i="15" s="1"/>
  <c r="B391" i="15"/>
  <c r="D391" i="15" s="1"/>
  <c r="I421" i="15"/>
  <c r="I422" i="15" s="1"/>
  <c r="I21" i="15"/>
  <c r="E28" i="15"/>
  <c r="G28" i="15"/>
  <c r="K19" i="15"/>
  <c r="B12" i="15"/>
  <c r="G289" i="15"/>
  <c r="B273" i="15"/>
  <c r="B204" i="15"/>
  <c r="D204" i="15" s="1"/>
  <c r="G220" i="15"/>
  <c r="B86" i="15"/>
  <c r="G102" i="15"/>
  <c r="E141" i="15"/>
  <c r="E180" i="15"/>
  <c r="E359" i="15"/>
  <c r="E434" i="15"/>
  <c r="I19" i="15"/>
  <c r="B50" i="15"/>
  <c r="D50" i="15" s="1"/>
  <c r="I89" i="15"/>
  <c r="B128" i="15"/>
  <c r="D128" i="15" s="1"/>
  <c r="B164" i="15"/>
  <c r="D164" i="15" s="1"/>
  <c r="B166" i="15"/>
  <c r="D166" i="15" s="1"/>
  <c r="I207" i="15"/>
  <c r="I209" i="15" s="1"/>
  <c r="B241" i="15"/>
  <c r="D241" i="15" s="1"/>
  <c r="G254" i="15"/>
  <c r="B275" i="15"/>
  <c r="D275" i="15" s="1"/>
  <c r="B309" i="15"/>
  <c r="B322" i="15"/>
  <c r="D322" i="15" s="1"/>
  <c r="B343" i="15"/>
  <c r="D343" i="15" s="1"/>
  <c r="B355" i="15"/>
  <c r="D355" i="15" s="1"/>
  <c r="B382" i="15"/>
  <c r="D382" i="15" s="1"/>
  <c r="B418" i="15"/>
  <c r="D418" i="15" s="1"/>
  <c r="B420" i="15"/>
  <c r="D420" i="15" s="1"/>
  <c r="B430" i="15"/>
  <c r="D430" i="15" s="1"/>
  <c r="D431" i="15"/>
  <c r="I53" i="15"/>
  <c r="I54" i="15" s="1"/>
  <c r="I346" i="15"/>
  <c r="I348" i="15" s="1"/>
  <c r="I420" i="14"/>
  <c r="G418" i="14"/>
  <c r="G419" i="14" s="1"/>
  <c r="G421" i="14"/>
  <c r="B421" i="14" s="1"/>
  <c r="G379" i="14"/>
  <c r="G380" i="14" s="1"/>
  <c r="G382" i="14"/>
  <c r="B382" i="14" s="1"/>
  <c r="D382" i="14" s="1"/>
  <c r="G343" i="14"/>
  <c r="G347" i="14"/>
  <c r="B347" i="14" s="1"/>
  <c r="D347" i="14" s="1"/>
  <c r="G346" i="14"/>
  <c r="B346" i="14" s="1"/>
  <c r="D346" i="14" s="1"/>
  <c r="I384" i="14"/>
  <c r="G383" i="14"/>
  <c r="B383" i="14" s="1"/>
  <c r="D383" i="14" s="1"/>
  <c r="G392" i="14"/>
  <c r="B395" i="14"/>
  <c r="B393" i="14"/>
  <c r="D393" i="14" s="1"/>
  <c r="B391" i="14"/>
  <c r="E391" i="14" s="1"/>
  <c r="B388" i="14"/>
  <c r="E388" i="14" s="1"/>
  <c r="B385" i="14"/>
  <c r="D385" i="14" s="1"/>
  <c r="B384" i="14"/>
  <c r="D384" i="14" s="1"/>
  <c r="I348" i="14"/>
  <c r="G356" i="14"/>
  <c r="B359" i="14"/>
  <c r="B357" i="14"/>
  <c r="D357" i="14" s="1"/>
  <c r="B355" i="14"/>
  <c r="E355" i="14" s="1"/>
  <c r="B352" i="14"/>
  <c r="E352" i="14" s="1"/>
  <c r="B349" i="14"/>
  <c r="D349" i="14" s="1"/>
  <c r="B348" i="14"/>
  <c r="D348" i="14" s="1"/>
  <c r="G344" i="14"/>
  <c r="G309" i="14"/>
  <c r="G310" i="14" s="1"/>
  <c r="G322" i="14"/>
  <c r="B322" i="14" s="1"/>
  <c r="D322" i="14" s="1"/>
  <c r="G312" i="14"/>
  <c r="B312" i="14" s="1"/>
  <c r="D312" i="14" s="1"/>
  <c r="G273" i="14"/>
  <c r="G274" i="14" s="1"/>
  <c r="G276" i="14"/>
  <c r="G286" i="14"/>
  <c r="B286" i="14" s="1"/>
  <c r="D286" i="14" s="1"/>
  <c r="B289" i="14"/>
  <c r="B287" i="14"/>
  <c r="D287" i="14" s="1"/>
  <c r="B285" i="14"/>
  <c r="E285" i="14" s="1"/>
  <c r="B282" i="14"/>
  <c r="E282" i="14" s="1"/>
  <c r="B279" i="14"/>
  <c r="D279" i="14" s="1"/>
  <c r="B278" i="14"/>
  <c r="D278" i="14" s="1"/>
  <c r="G277" i="14"/>
  <c r="B277" i="14" s="1"/>
  <c r="D277" i="14" s="1"/>
  <c r="G238" i="14"/>
  <c r="G239" i="14" s="1"/>
  <c r="B239" i="14" s="1"/>
  <c r="G251" i="14"/>
  <c r="B251" i="14" s="1"/>
  <c r="D251" i="14" s="1"/>
  <c r="G242" i="14"/>
  <c r="B242" i="14" s="1"/>
  <c r="D242" i="14" s="1"/>
  <c r="G241" i="14"/>
  <c r="B254" i="14"/>
  <c r="B252" i="14"/>
  <c r="D252" i="14" s="1"/>
  <c r="B250" i="14"/>
  <c r="E250" i="14" s="1"/>
  <c r="B247" i="14"/>
  <c r="E247" i="14" s="1"/>
  <c r="B244" i="14"/>
  <c r="D244" i="14" s="1"/>
  <c r="B243" i="14"/>
  <c r="D243" i="14" s="1"/>
  <c r="G204" i="14"/>
  <c r="G205" i="14" s="1"/>
  <c r="I209" i="14"/>
  <c r="G207" i="14"/>
  <c r="G164" i="14"/>
  <c r="G167" i="14"/>
  <c r="G168" i="14"/>
  <c r="B168" i="14" s="1"/>
  <c r="G125" i="14"/>
  <c r="G126" i="14" s="1"/>
  <c r="G11" i="14"/>
  <c r="I19" i="14" s="1"/>
  <c r="G129" i="14"/>
  <c r="G128" i="14"/>
  <c r="G90" i="14"/>
  <c r="B90" i="14" s="1"/>
  <c r="D90" i="14" s="1"/>
  <c r="G89" i="14"/>
  <c r="G86" i="14"/>
  <c r="G87" i="14" s="1"/>
  <c r="I91" i="14"/>
  <c r="G50" i="14"/>
  <c r="G51" i="14" s="1"/>
  <c r="G54" i="14"/>
  <c r="G53" i="14"/>
  <c r="B53" i="14" s="1"/>
  <c r="D53" i="14" s="1"/>
  <c r="I20" i="14"/>
  <c r="G17" i="14"/>
  <c r="B17" i="14" s="1"/>
  <c r="D17" i="14" s="1"/>
  <c r="B434" i="14"/>
  <c r="G432" i="14"/>
  <c r="G431" i="14"/>
  <c r="B430" i="14"/>
  <c r="E430" i="14" s="1"/>
  <c r="B427" i="14"/>
  <c r="E427" i="14" s="1"/>
  <c r="B424" i="14"/>
  <c r="D424" i="14" s="1"/>
  <c r="B423" i="14"/>
  <c r="D423" i="14" s="1"/>
  <c r="G422" i="14"/>
  <c r="B325" i="14"/>
  <c r="G323" i="14"/>
  <c r="B321" i="14"/>
  <c r="E321" i="14" s="1"/>
  <c r="B318" i="14"/>
  <c r="E318" i="14" s="1"/>
  <c r="B315" i="14"/>
  <c r="D315" i="14" s="1"/>
  <c r="B314" i="14"/>
  <c r="D314" i="14" s="1"/>
  <c r="G313" i="14"/>
  <c r="B313" i="14" s="1"/>
  <c r="D313" i="14" s="1"/>
  <c r="B220" i="14"/>
  <c r="G218" i="14"/>
  <c r="B218" i="14" s="1"/>
  <c r="D218" i="14" s="1"/>
  <c r="G217" i="14"/>
  <c r="B217" i="14" s="1"/>
  <c r="B216" i="14"/>
  <c r="E216" i="14" s="1"/>
  <c r="B213" i="14"/>
  <c r="E213" i="14" s="1"/>
  <c r="B210" i="14"/>
  <c r="D210" i="14" s="1"/>
  <c r="B209" i="14"/>
  <c r="D209" i="14" s="1"/>
  <c r="G208" i="14"/>
  <c r="B208" i="14" s="1"/>
  <c r="D208" i="14" s="1"/>
  <c r="B180" i="14"/>
  <c r="B178" i="14"/>
  <c r="D178" i="14" s="1"/>
  <c r="B177" i="14"/>
  <c r="D177" i="14" s="1"/>
  <c r="B176" i="14"/>
  <c r="E176" i="14" s="1"/>
  <c r="B173" i="14"/>
  <c r="E173" i="14" s="1"/>
  <c r="B170" i="14"/>
  <c r="D170" i="14" s="1"/>
  <c r="B169" i="14"/>
  <c r="D169" i="14" s="1"/>
  <c r="B167" i="14"/>
  <c r="D167" i="14" s="1"/>
  <c r="G166" i="14"/>
  <c r="B141" i="14"/>
  <c r="B139" i="14"/>
  <c r="D139" i="14" s="1"/>
  <c r="B138" i="14"/>
  <c r="B137" i="14"/>
  <c r="E137" i="14" s="1"/>
  <c r="B134" i="14"/>
  <c r="E134" i="14" s="1"/>
  <c r="B131" i="14"/>
  <c r="D131" i="14" s="1"/>
  <c r="B130" i="14"/>
  <c r="D130" i="14" s="1"/>
  <c r="B129" i="14"/>
  <c r="D129" i="14" s="1"/>
  <c r="B128" i="14"/>
  <c r="D128" i="14" s="1"/>
  <c r="B102" i="14"/>
  <c r="B100" i="14"/>
  <c r="D100" i="14" s="1"/>
  <c r="B99" i="14"/>
  <c r="B98" i="14"/>
  <c r="E98" i="14" s="1"/>
  <c r="B95" i="14"/>
  <c r="E95" i="14" s="1"/>
  <c r="B92" i="14"/>
  <c r="D92" i="14" s="1"/>
  <c r="B91" i="14"/>
  <c r="D91" i="14" s="1"/>
  <c r="B66" i="14"/>
  <c r="B64" i="14"/>
  <c r="D64" i="14" s="1"/>
  <c r="B63" i="14"/>
  <c r="D63" i="14" s="1"/>
  <c r="B62" i="14"/>
  <c r="E62" i="14" s="1"/>
  <c r="B59" i="14"/>
  <c r="E59" i="14" s="1"/>
  <c r="B56" i="14"/>
  <c r="D56" i="14" s="1"/>
  <c r="B55" i="14"/>
  <c r="D55" i="14" s="1"/>
  <c r="B27" i="14"/>
  <c r="B25" i="14"/>
  <c r="D25" i="14" s="1"/>
  <c r="B24" i="14"/>
  <c r="D24" i="14" s="1"/>
  <c r="B23" i="14"/>
  <c r="D23" i="14" s="1"/>
  <c r="B20" i="14"/>
  <c r="E20" i="14" s="1"/>
  <c r="B16" i="14"/>
  <c r="D16" i="14" s="1"/>
  <c r="G142" i="14" l="1"/>
  <c r="E255" i="14"/>
  <c r="B550" i="16"/>
  <c r="C557" i="16" s="1"/>
  <c r="G620" i="16"/>
  <c r="D420" i="20"/>
  <c r="I681" i="18"/>
  <c r="G290" i="14"/>
  <c r="B128" i="17"/>
  <c r="D640" i="16"/>
  <c r="D639" i="16" s="1"/>
  <c r="B656" i="16"/>
  <c r="C663" i="16" s="1"/>
  <c r="B515" i="16"/>
  <c r="C522" i="16" s="1"/>
  <c r="D604" i="16"/>
  <c r="D620" i="16" s="1"/>
  <c r="B84" i="18"/>
  <c r="G165" i="14"/>
  <c r="G181" i="14" s="1"/>
  <c r="G435" i="14"/>
  <c r="E221" i="14"/>
  <c r="I129" i="14"/>
  <c r="I14" i="16"/>
  <c r="I208" i="14"/>
  <c r="B620" i="16"/>
  <c r="C627" i="16" s="1"/>
  <c r="B616" i="18"/>
  <c r="C622" i="18" s="1"/>
  <c r="B166" i="14"/>
  <c r="D166" i="14" s="1"/>
  <c r="I54" i="14"/>
  <c r="I55" i="14" s="1"/>
  <c r="I21" i="14"/>
  <c r="D125" i="16"/>
  <c r="D141" i="16" s="1"/>
  <c r="B141" i="16"/>
  <c r="B145" i="17"/>
  <c r="C150" i="17" s="1"/>
  <c r="D392" i="17"/>
  <c r="G12" i="14"/>
  <c r="B12" i="14" s="1"/>
  <c r="I422" i="14"/>
  <c r="I423" i="14" s="1"/>
  <c r="I210" i="14"/>
  <c r="D125" i="15"/>
  <c r="D124" i="15" s="1"/>
  <c r="B141" i="15"/>
  <c r="B148" i="15" s="1"/>
  <c r="D145" i="17"/>
  <c r="D356" i="17"/>
  <c r="D359" i="17" s="1"/>
  <c r="D248" i="20"/>
  <c r="D231" i="20"/>
  <c r="D180" i="20"/>
  <c r="D163" i="20"/>
  <c r="D581" i="18"/>
  <c r="D564" i="18"/>
  <c r="B471" i="18"/>
  <c r="C476" i="18" s="1"/>
  <c r="D635" i="18"/>
  <c r="D652" i="18"/>
  <c r="D101" i="18"/>
  <c r="D84" i="18"/>
  <c r="D63" i="18"/>
  <c r="D46" i="18"/>
  <c r="J682" i="18"/>
  <c r="B678" i="18"/>
  <c r="D678" i="18" s="1"/>
  <c r="G694" i="18"/>
  <c r="I678" i="18"/>
  <c r="K104" i="18"/>
  <c r="K105" i="18" s="1"/>
  <c r="D599" i="18"/>
  <c r="D616" i="18"/>
  <c r="B505" i="18"/>
  <c r="C510" i="18" s="1"/>
  <c r="D489" i="18"/>
  <c r="B488" i="18"/>
  <c r="B27" i="18"/>
  <c r="C33" i="18" s="1"/>
  <c r="B10" i="18"/>
  <c r="B180" i="18"/>
  <c r="C185" i="18" s="1"/>
  <c r="B163" i="18"/>
  <c r="B101" i="18"/>
  <c r="C107" i="18" s="1"/>
  <c r="D145" i="18"/>
  <c r="D128" i="18"/>
  <c r="J581" i="18"/>
  <c r="K148" i="18"/>
  <c r="K149" i="18" s="1"/>
  <c r="B63" i="18"/>
  <c r="C69" i="18" s="1"/>
  <c r="B46" i="18"/>
  <c r="D11" i="18"/>
  <c r="B145" i="18"/>
  <c r="C150" i="18" s="1"/>
  <c r="B128" i="18"/>
  <c r="B635" i="18"/>
  <c r="B652" i="18"/>
  <c r="C658" i="18" s="1"/>
  <c r="B581" i="18"/>
  <c r="C587" i="18" s="1"/>
  <c r="B564" i="18"/>
  <c r="B522" i="18"/>
  <c r="D523" i="18"/>
  <c r="B539" i="18"/>
  <c r="C544" i="18" s="1"/>
  <c r="K408" i="17"/>
  <c r="K409" i="17" s="1"/>
  <c r="J437" i="17"/>
  <c r="B378" i="17"/>
  <c r="B395" i="17"/>
  <c r="C401" i="17" s="1"/>
  <c r="D379" i="17"/>
  <c r="D342" i="17"/>
  <c r="B342" i="17"/>
  <c r="B359" i="17"/>
  <c r="C365" i="17" s="1"/>
  <c r="K148" i="17"/>
  <c r="K149" i="17" s="1"/>
  <c r="J324" i="17"/>
  <c r="D282" i="17"/>
  <c r="D265" i="17"/>
  <c r="B282" i="17"/>
  <c r="C287" i="17" s="1"/>
  <c r="B265" i="17"/>
  <c r="D248" i="17"/>
  <c r="D231" i="17"/>
  <c r="B248" i="17"/>
  <c r="C253" i="17" s="1"/>
  <c r="B231" i="17"/>
  <c r="D214" i="17"/>
  <c r="D197" i="17"/>
  <c r="B214" i="17"/>
  <c r="C219" i="17" s="1"/>
  <c r="B197" i="17"/>
  <c r="D180" i="17"/>
  <c r="D163" i="17"/>
  <c r="B180" i="17"/>
  <c r="C185" i="17" s="1"/>
  <c r="B163" i="17"/>
  <c r="I424" i="17"/>
  <c r="I421" i="17"/>
  <c r="D128" i="17"/>
  <c r="B101" i="17"/>
  <c r="C107" i="17" s="1"/>
  <c r="B84" i="17"/>
  <c r="D85" i="17"/>
  <c r="B46" i="17"/>
  <c r="B63" i="17"/>
  <c r="C69" i="17" s="1"/>
  <c r="D47" i="17"/>
  <c r="D27" i="17"/>
  <c r="D10" i="17"/>
  <c r="D324" i="17"/>
  <c r="D307" i="17"/>
  <c r="B324" i="17"/>
  <c r="C330" i="17" s="1"/>
  <c r="B307" i="17"/>
  <c r="B437" i="17"/>
  <c r="B444" i="17" s="1"/>
  <c r="B420" i="17"/>
  <c r="D420" i="17"/>
  <c r="D437" i="17"/>
  <c r="B28" i="16"/>
  <c r="B34" i="16" s="1"/>
  <c r="I12" i="16"/>
  <c r="D49" i="16"/>
  <c r="D66" i="16"/>
  <c r="D124" i="16"/>
  <c r="G695" i="16"/>
  <c r="B679" i="16"/>
  <c r="D679" i="16" s="1"/>
  <c r="D569" i="16"/>
  <c r="D586" i="16"/>
  <c r="B148" i="16"/>
  <c r="B124" i="16"/>
  <c r="B86" i="16"/>
  <c r="D86" i="16" s="1"/>
  <c r="G102" i="16"/>
  <c r="D533" i="16"/>
  <c r="D550" i="16"/>
  <c r="D11" i="16"/>
  <c r="D28" i="16"/>
  <c r="D498" i="16"/>
  <c r="D515" i="16"/>
  <c r="B66" i="16"/>
  <c r="B73" i="16" s="1"/>
  <c r="B49" i="16"/>
  <c r="D464" i="16"/>
  <c r="D481" i="16"/>
  <c r="D180" i="16"/>
  <c r="D163" i="16"/>
  <c r="B481" i="16"/>
  <c r="C488" i="16" s="1"/>
  <c r="B464" i="16"/>
  <c r="D379" i="15"/>
  <c r="D395" i="15" s="1"/>
  <c r="B395" i="15"/>
  <c r="C402" i="15" s="1"/>
  <c r="D238" i="15"/>
  <c r="D237" i="15" s="1"/>
  <c r="D378" i="15"/>
  <c r="D163" i="15"/>
  <c r="D180" i="15"/>
  <c r="D220" i="15"/>
  <c r="D203" i="15"/>
  <c r="B11" i="15"/>
  <c r="B28" i="15"/>
  <c r="B34" i="15" s="1"/>
  <c r="D359" i="15"/>
  <c r="D342" i="15"/>
  <c r="B308" i="15"/>
  <c r="B325" i="15"/>
  <c r="C332" i="15" s="1"/>
  <c r="B102" i="15"/>
  <c r="B109" i="15" s="1"/>
  <c r="B85" i="15"/>
  <c r="I14" i="15"/>
  <c r="I15" i="15"/>
  <c r="D309" i="15"/>
  <c r="B220" i="15"/>
  <c r="C227" i="15" s="1"/>
  <c r="B203" i="15"/>
  <c r="B272" i="15"/>
  <c r="B289" i="15"/>
  <c r="C296" i="15" s="1"/>
  <c r="D12" i="15"/>
  <c r="D417" i="15"/>
  <c r="D434" i="15"/>
  <c r="B254" i="15"/>
  <c r="C261" i="15" s="1"/>
  <c r="D66" i="15"/>
  <c r="D49" i="15"/>
  <c r="B434" i="15"/>
  <c r="C441" i="15" s="1"/>
  <c r="B417" i="15"/>
  <c r="B359" i="15"/>
  <c r="C366" i="15" s="1"/>
  <c r="B342" i="15"/>
  <c r="B180" i="15"/>
  <c r="C187" i="15" s="1"/>
  <c r="B163" i="15"/>
  <c r="B66" i="15"/>
  <c r="B73" i="15" s="1"/>
  <c r="B49" i="15"/>
  <c r="D86" i="15"/>
  <c r="D273" i="15"/>
  <c r="I12" i="15"/>
  <c r="I347" i="14"/>
  <c r="I349" i="14" s="1"/>
  <c r="I383" i="14"/>
  <c r="I385" i="14" s="1"/>
  <c r="G396" i="14"/>
  <c r="E396" i="14"/>
  <c r="B380" i="14"/>
  <c r="B392" i="14"/>
  <c r="D392" i="14" s="1"/>
  <c r="B344" i="14"/>
  <c r="D344" i="14" s="1"/>
  <c r="G360" i="14"/>
  <c r="E360" i="14"/>
  <c r="B356" i="14"/>
  <c r="D356" i="14" s="1"/>
  <c r="E290" i="14"/>
  <c r="B274" i="14"/>
  <c r="B276" i="14"/>
  <c r="D276" i="14" s="1"/>
  <c r="D239" i="14"/>
  <c r="B238" i="14"/>
  <c r="B241" i="14"/>
  <c r="D241" i="14" s="1"/>
  <c r="G255" i="14"/>
  <c r="I90" i="14"/>
  <c r="E103" i="14"/>
  <c r="E181" i="14"/>
  <c r="E142" i="14"/>
  <c r="D138" i="14"/>
  <c r="B422" i="14"/>
  <c r="D422" i="14" s="1"/>
  <c r="E67" i="14"/>
  <c r="D99" i="14"/>
  <c r="E28" i="14"/>
  <c r="B126" i="14"/>
  <c r="B125" i="14" s="1"/>
  <c r="D168" i="14"/>
  <c r="D217" i="14"/>
  <c r="D421" i="14"/>
  <c r="K19" i="14"/>
  <c r="I12" i="14" s="1"/>
  <c r="B51" i="14"/>
  <c r="G67" i="14"/>
  <c r="B165" i="14"/>
  <c r="D165" i="14" s="1"/>
  <c r="B14" i="14"/>
  <c r="D14" i="14" s="1"/>
  <c r="E326" i="14"/>
  <c r="G103" i="14"/>
  <c r="B87" i="14"/>
  <c r="B205" i="14"/>
  <c r="D205" i="14" s="1"/>
  <c r="G221" i="14"/>
  <c r="B419" i="14"/>
  <c r="D419" i="14" s="1"/>
  <c r="E435" i="14"/>
  <c r="B15" i="14"/>
  <c r="D15" i="14" s="1"/>
  <c r="G326" i="14"/>
  <c r="B432" i="14"/>
  <c r="D432" i="14" s="1"/>
  <c r="B54" i="14"/>
  <c r="D54" i="14" s="1"/>
  <c r="B89" i="14"/>
  <c r="D89" i="14" s="1"/>
  <c r="B207" i="14"/>
  <c r="D207" i="14" s="1"/>
  <c r="B310" i="14"/>
  <c r="D310" i="14" s="1"/>
  <c r="B323" i="14"/>
  <c r="D323" i="14" s="1"/>
  <c r="B431" i="14"/>
  <c r="D431" i="14" s="1"/>
  <c r="D656" i="16" l="1"/>
  <c r="D141" i="15"/>
  <c r="D603" i="16"/>
  <c r="D180" i="18"/>
  <c r="D163" i="18"/>
  <c r="D488" i="18"/>
  <c r="D505" i="18"/>
  <c r="J694" i="18"/>
  <c r="K665" i="18"/>
  <c r="K666" i="18" s="1"/>
  <c r="D471" i="18"/>
  <c r="D27" i="18"/>
  <c r="D10" i="18"/>
  <c r="B677" i="18"/>
  <c r="B694" i="18"/>
  <c r="B701" i="18" s="1"/>
  <c r="D539" i="18"/>
  <c r="D522" i="18"/>
  <c r="D694" i="18"/>
  <c r="D677" i="18"/>
  <c r="D395" i="17"/>
  <c r="D378" i="17"/>
  <c r="D101" i="17"/>
  <c r="D84" i="17"/>
  <c r="D46" i="17"/>
  <c r="D63" i="17"/>
  <c r="D102" i="16"/>
  <c r="D85" i="16"/>
  <c r="B695" i="16"/>
  <c r="C702" i="16" s="1"/>
  <c r="B678" i="16"/>
  <c r="B85" i="16"/>
  <c r="B102" i="16"/>
  <c r="B109" i="16" s="1"/>
  <c r="D678" i="16"/>
  <c r="D695" i="16"/>
  <c r="D254" i="15"/>
  <c r="D272" i="15"/>
  <c r="D289" i="15"/>
  <c r="D308" i="15"/>
  <c r="D325" i="15"/>
  <c r="D102" i="15"/>
  <c r="D85" i="15"/>
  <c r="D11" i="15"/>
  <c r="D28" i="15"/>
  <c r="B396" i="14"/>
  <c r="C403" i="14" s="1"/>
  <c r="B379" i="14"/>
  <c r="D380" i="14"/>
  <c r="D343" i="14"/>
  <c r="D360" i="14"/>
  <c r="B360" i="14"/>
  <c r="C367" i="14" s="1"/>
  <c r="B343" i="14"/>
  <c r="B273" i="14"/>
  <c r="B290" i="14"/>
  <c r="C297" i="14" s="1"/>
  <c r="D274" i="14"/>
  <c r="B255" i="14"/>
  <c r="C262" i="14" s="1"/>
  <c r="D255" i="14"/>
  <c r="D238" i="14"/>
  <c r="G28" i="14"/>
  <c r="B142" i="14"/>
  <c r="B149" i="14" s="1"/>
  <c r="D126" i="14"/>
  <c r="D142" i="14" s="1"/>
  <c r="D309" i="14"/>
  <c r="D326" i="14"/>
  <c r="B86" i="14"/>
  <c r="B103" i="14"/>
  <c r="B110" i="14" s="1"/>
  <c r="D164" i="14"/>
  <c r="D181" i="14"/>
  <c r="B28" i="14"/>
  <c r="B35" i="14" s="1"/>
  <c r="B11" i="14"/>
  <c r="D87" i="14"/>
  <c r="I15" i="14"/>
  <c r="B67" i="14"/>
  <c r="B74" i="14" s="1"/>
  <c r="B50" i="14"/>
  <c r="B418" i="14"/>
  <c r="B435" i="14"/>
  <c r="C442" i="14" s="1"/>
  <c r="B204" i="14"/>
  <c r="B221" i="14"/>
  <c r="C228" i="14" s="1"/>
  <c r="I14" i="14"/>
  <c r="B309" i="14"/>
  <c r="B326" i="14"/>
  <c r="C333" i="14" s="1"/>
  <c r="D12" i="14"/>
  <c r="D418" i="14"/>
  <c r="D435" i="14"/>
  <c r="D221" i="14"/>
  <c r="D204" i="14"/>
  <c r="B181" i="14"/>
  <c r="C188" i="14" s="1"/>
  <c r="B164" i="14"/>
  <c r="D51" i="14"/>
  <c r="D379" i="14" l="1"/>
  <c r="D396" i="14"/>
  <c r="D273" i="14"/>
  <c r="D290" i="14"/>
  <c r="D125" i="14"/>
  <c r="D11" i="14"/>
  <c r="D28" i="14"/>
  <c r="D67" i="14"/>
  <c r="D50" i="14"/>
  <c r="D103" i="14"/>
  <c r="D86" i="14"/>
  <c r="G101" i="20" l="1"/>
  <c r="B85" i="20"/>
  <c r="B84" i="20" s="1"/>
  <c r="B101" i="20" l="1"/>
  <c r="C107" i="20" s="1"/>
  <c r="D85" i="20"/>
  <c r="D101" i="20" s="1"/>
  <c r="G359" i="20"/>
  <c r="J359" i="20" s="1"/>
  <c r="B342" i="20"/>
  <c r="G342" i="20"/>
  <c r="I348" i="20" s="1"/>
  <c r="D84" i="20" l="1"/>
  <c r="D343" i="20"/>
  <c r="D342" i="20" s="1"/>
  <c r="B359" i="20"/>
  <c r="C365" i="20" s="1"/>
  <c r="D359" i="20" l="1"/>
</calcChain>
</file>

<file path=xl/sharedStrings.xml><?xml version="1.0" encoding="utf-8"?>
<sst xmlns="http://schemas.openxmlformats.org/spreadsheetml/2006/main" count="11149" uniqueCount="275">
  <si>
    <t xml:space="preserve">детска градина/училище </t>
  </si>
  <si>
    <t>ЧОУ БЪДЕЩЕ ЕООД</t>
  </si>
  <si>
    <t>видове разходи</t>
  </si>
  <si>
    <t>Всичко:</t>
  </si>
  <si>
    <t>за осигуряване и поддържане на материално-техническата база</t>
  </si>
  <si>
    <t>целеви средства по чл. 283, ал. 3 от ЗПУО</t>
  </si>
  <si>
    <t>(к. 2 + к. 3 + к. 4 + к. 5 + к. 6 )</t>
  </si>
  <si>
    <t>1. Възнаграждения на педагогическите специалисти, вкл. задължителни осигурителни вноски от работодател</t>
  </si>
  <si>
    <t>*</t>
  </si>
  <si>
    <t xml:space="preserve"> – назначени с трудов договор</t>
  </si>
  <si>
    <t xml:space="preserve"> – наети по ЗЗД</t>
  </si>
  <si>
    <t>2. Възнаграждения на непедагогически персонал, вкл. задължителни осигурителни вноски от работодател</t>
  </si>
  <si>
    <t>3. Разходи за персонал - облекло, СБКО, обезщетения по КТ  и др.</t>
  </si>
  <si>
    <t xml:space="preserve">4. Разходи за вода, горива, енергия </t>
  </si>
  <si>
    <t>5. Разходи за материали и консумативи</t>
  </si>
  <si>
    <t>6. Разходи за храна в задължителното предучилищно образование</t>
  </si>
  <si>
    <t>7. Разходи за наем</t>
  </si>
  <si>
    <t>8. Разходи за текущи ремонти</t>
  </si>
  <si>
    <t>9. Разходи за основни ремонти</t>
  </si>
  <si>
    <t>10. Разходи за материални активи, които нямат характер на дълготрайни</t>
  </si>
  <si>
    <t>11. Амортизация на дълготрайни материални и нематериални активи</t>
  </si>
  <si>
    <t>12. Разходи за външни услуги без т. 4 и 6 - 9</t>
  </si>
  <si>
    <t>13. Финансови разходи, данъци, такси</t>
  </si>
  <si>
    <t>14. Разходи по чл. 283, ал. 3 от ЗПУО</t>
  </si>
  <si>
    <t>15. Други разходи, невключени в т. 1 - 14</t>
  </si>
  <si>
    <t>Всичко разходи:</t>
  </si>
  <si>
    <r>
      <t>Забележки:</t>
    </r>
    <r>
      <rPr>
        <sz val="11"/>
        <color theme="1"/>
        <rFont val="Calibri"/>
        <family val="2"/>
        <charset val="204"/>
        <scheme val="minor"/>
      </rPr>
      <t xml:space="preserve"> 1.Разходите по т. 15 от да се опишат по елементи като приложение към справката;</t>
    </r>
  </si>
  <si>
    <t xml:space="preserve">                          2. При попълване на т. 1, следва да се съобрази изискването на чл. 117, ал. 1</t>
  </si>
  <si>
    <t xml:space="preserve">                          3. Средствата по ред 25 от к. 2 и 3 не могат да надвишават предоставените такива за сметка на държавния бюджет</t>
  </si>
  <si>
    <t>Приложение № 9 към чл. 118, ал. 2, т.2</t>
  </si>
  <si>
    <t>Разходи за дейностите по възпитание и обучение на децата и учениците, в т. ч.:</t>
  </si>
  <si>
    <t>ЧЕГ СТОЯН САРИЕВ ЕООД</t>
  </si>
  <si>
    <t>от дейности финансирани от платени услуги за дейности извън
учебния план
срещу заплащане, които са извън</t>
  </si>
  <si>
    <t>от дейности срещу заплащане, които са извън програмната система/учебния план</t>
  </si>
  <si>
    <t xml:space="preserve">възстановени от родителите съгласно методиката по чл.
132
</t>
  </si>
  <si>
    <t>финансирани от други източници, без средствата от държавния бюджет</t>
  </si>
  <si>
    <t xml:space="preserve">за обучението по програмната система/учебен план за дейности по задължителното предучилищно и училищно образование по
стандартите за финансиране
</t>
  </si>
  <si>
    <t>(к. 2 + к. 3 + к. 4 +              к. 5 + к. 6 )</t>
  </si>
  <si>
    <t>Справка за извършените разходи за дейностите по възпитание и обучение на децата и учениците към 30.09.2022г.</t>
  </si>
  <si>
    <t>Справка за извършените разходи за дейностите по възпитание и обучение на децата и учениците към 30.06.2022г.</t>
  </si>
  <si>
    <t>финансиране към 30.09.2022</t>
  </si>
  <si>
    <t>финансиране към 30.06.2022</t>
  </si>
  <si>
    <t>Справка за извършените разходи за дейностите по възпитание и обучение на децата и учениците към 31.03.2022г.</t>
  </si>
  <si>
    <t>Справка за извършените разходи за дейностите по възпитание и обучение на децата и учениците към 31.03.2021г.</t>
  </si>
  <si>
    <t>финансиране към 31.03.2021</t>
  </si>
  <si>
    <t>Справка за извършените разходи за дейностите по възпитание и обучение на децата и учениците към 30.06.2021г.</t>
  </si>
  <si>
    <t>финансиране към 30.06.2021</t>
  </si>
  <si>
    <t>Справка за извършените разходи за дейностите по възпитание и обучение на децата и учениците към 30.09.2021г.</t>
  </si>
  <si>
    <t>финансиране към 30.09.2021</t>
  </si>
  <si>
    <t>Справка за извършените разходи за дейностите по възпитание и обучение на децата и учениците към 31.12.2021г.</t>
  </si>
  <si>
    <t>финансиране към 31.12.2021</t>
  </si>
  <si>
    <t>Справка за извършените разходи за дейностите по възпитание и обучение на децата и учениците към 31.12.2022г.</t>
  </si>
  <si>
    <t>финансиране към 31.12.2022</t>
  </si>
  <si>
    <t>Справка за извършените разходи за дейностите по възпитание и обучение на децата и учениците към 31.01.2021г.</t>
  </si>
  <si>
    <t>финансиране към 31.01.2021</t>
  </si>
  <si>
    <t>собств.прих.към 31.01.2021</t>
  </si>
  <si>
    <t>Справка за извършените разходи за дейностите по възпитание и обучение на децата и учениците към 28.02.2021г.</t>
  </si>
  <si>
    <t>финансиране към 28.02.2021</t>
  </si>
  <si>
    <t>Справка за извършените разходи за дейностите по възпитание и обучение на децата и учениците към 30.04.2021г.</t>
  </si>
  <si>
    <t>финансиране към 30.04.2021</t>
  </si>
  <si>
    <t>Справка за извършените разходи за дейностите по възпитание и обучение на децата и учениците към 31.05.2021г.</t>
  </si>
  <si>
    <t>Справка за извършените разходи за дейностите по възпитание и обучение на децата и учениците към 31.07.2021г.</t>
  </si>
  <si>
    <t>финансиране към 31.07.2021</t>
  </si>
  <si>
    <t>Справка за извършените разходи за дейностите по възпитание и обучение на децата и учениците към 31.08.2021г.</t>
  </si>
  <si>
    <t>Справка за извършените разходи за дейностите по възпитание и обучение на децата и учениците към 31.10.2021г.</t>
  </si>
  <si>
    <t>Справка за извършените разходи за дейностите по възпитание и обучение на децата и учениците към 30.11.2021г.</t>
  </si>
  <si>
    <t>финансиране към 31.10.2021</t>
  </si>
  <si>
    <t>финансиране към 30.11.2021</t>
  </si>
  <si>
    <t>Справка за извършените разходи за дейностите по възпитание и обучение на децата и учениците към 31.01.2022г.</t>
  </si>
  <si>
    <t>финансиране към 31.01.2022</t>
  </si>
  <si>
    <t>Справка за извършените разходи за дейностите по възпитание и обучение на децата и учениците към 28.02.2022г.</t>
  </si>
  <si>
    <t>финансиране към 28.02.2022</t>
  </si>
  <si>
    <t>Справка за извършените разходи за дейностите по възпитание и обучение на децата и учениците към 30.04.2022г.</t>
  </si>
  <si>
    <t>финансиране към 30.04.2022</t>
  </si>
  <si>
    <t>Справка за извършените разходи за дейностите по възпитание и обучение на децата и учениците към 31.05.2022г.</t>
  </si>
  <si>
    <t>финансиране към 31.05.2022</t>
  </si>
  <si>
    <t>Справка за извършените разходи за дейностите по възпитание и обучение на децата и учениците към 31.07.2022г.</t>
  </si>
  <si>
    <t>финансиране към 31.07.2022</t>
  </si>
  <si>
    <t>Справка за извършените разходи за дейностите по възпитание и обучение на децата и учениците към 31.08.2022г.</t>
  </si>
  <si>
    <t>Справка за извършените разходи за дейностите по възпитание и обучение на децата и учениците към 31.10.2022г.</t>
  </si>
  <si>
    <t>финансиране към 31.10.2022</t>
  </si>
  <si>
    <t>Справка за извършените разходи за дейностите по възпитание и обучение на децата и учениците към 30.11.2022г.</t>
  </si>
  <si>
    <t>финансиране към 30.11.2022</t>
  </si>
  <si>
    <t>Справка за извършените разходи за дейностите по възпитание и обучение на децата и учениците към 31.01.2023г.</t>
  </si>
  <si>
    <t>финансиране към 31.01.2023</t>
  </si>
  <si>
    <t>Справка за извършените разходи за дейностите по възпитание и обучение на децата и учениците към 28.02.2023г.</t>
  </si>
  <si>
    <t>финансиране към 28.02.2023</t>
  </si>
  <si>
    <t>Справка за извършените разходи за дейностите по възпитание и обучение на децата и учениците към 31.03.2023г.</t>
  </si>
  <si>
    <t>финансиране към 31.03.2023</t>
  </si>
  <si>
    <t>Справка за извършените разходи за дейностите по възпитание и обучение на децата и учениците към 30.04.2023г.</t>
  </si>
  <si>
    <t>финансиране към 30.04.2023</t>
  </si>
  <si>
    <t>Справка за извършените разходи за дейностите по възпитание и обучение на децата и учениците към 31.05.2023г.</t>
  </si>
  <si>
    <t>финансиране към 31.05.2023</t>
  </si>
  <si>
    <t>ФИНАНСИРАНЕ 31.01.2022</t>
  </si>
  <si>
    <t>ФИНАНСИРАНЕ 28.02.2022</t>
  </si>
  <si>
    <t>ФИНАНСИРАНЕ 31.03.2022</t>
  </si>
  <si>
    <t>Справка за извършените разходи за дейностите по възпитание и обучение на децата и учениците към  01.2022г.</t>
  </si>
  <si>
    <t>Справка за извършените разходи за дейностите по възпитание и обучение на децата и учениците към  02.2022г.</t>
  </si>
  <si>
    <t>Справка за извършените разходи за дейностите по възпитание и обучение на децата и учениците към  03.2022г.</t>
  </si>
  <si>
    <t>Справка за извършените разходи за дейностите по възпитание и обучение на децата и учениците към  04.2022г.</t>
  </si>
  <si>
    <t>ФИНАНСИРАНЕ 30.04.2022</t>
  </si>
  <si>
    <t>Справка за извършените разходи за дейностите по възпитание и обучение на децата и учениците към  05.2022г.</t>
  </si>
  <si>
    <t>ФИНАНСИРАНЕ 31.05.2022</t>
  </si>
  <si>
    <t>Справка за извършените разходи за дейностите по възпитание и обучение на децата и учениците към  06.2022г.</t>
  </si>
  <si>
    <t>Справка за извършените разходи за дейностите по възпитание и обучение на децата и учениците към  07.2022г.</t>
  </si>
  <si>
    <t>ФИНАНСИРАНЕ 31.07.2022</t>
  </si>
  <si>
    <t>ФИНАНСИРАНЕ 30.06.2022</t>
  </si>
  <si>
    <t>Справка за извършените разходи за дейностите по възпитание и обучение на децата и учениците към  08.2022г.</t>
  </si>
  <si>
    <t>ФИНАНСИРАНЕ 31.08.2022</t>
  </si>
  <si>
    <t>финансиране  30.09.2022</t>
  </si>
  <si>
    <t>финансиране  31.10.2022</t>
  </si>
  <si>
    <t>Справка за извършените разходи за дейностите по възпитание и обучение на децата и учениците към  01.2023г.</t>
  </si>
  <si>
    <t>ФИНАНСИРАНЕ 31.01.2023</t>
  </si>
  <si>
    <t>Справка за извършените разходи за дейностите по възпитание и обучение на децата и учениците към  02.2023г.</t>
  </si>
  <si>
    <t>ФИНАНСИРАНЕ 28.02.2023</t>
  </si>
  <si>
    <t>Справка за извършените разходи за дейностите по възпитание и обучение на децата и учениците към  03.2023г.</t>
  </si>
  <si>
    <t>ФИНАНСИРАНЕ 31.03.2023</t>
  </si>
  <si>
    <t>Справка за извършените разходи за дейностите по възпитание и обучение на децата и учениците към  04.2023г.</t>
  </si>
  <si>
    <t>Справка за извършените разходи за дейностите по възпитание и обучение на децата и учениците към  05.2023г.</t>
  </si>
  <si>
    <t>ФИНАНСИРАНЕ 31.05.2023</t>
  </si>
  <si>
    <t>Справка за извършените разходи за дейностите по възпитание и обучение на децата и учениците към  01.2021г.</t>
  </si>
  <si>
    <t>ФИНАНСИРАНЕ 31.01.2021</t>
  </si>
  <si>
    <t>Справка за извършените разходи за дейностите по възпитание и обучение на децата и учениците към  02.2021г.</t>
  </si>
  <si>
    <t>ФИНАНСИРАНЕ 28.02.2021</t>
  </si>
  <si>
    <t>Справка за извършените разходи за дейностите по възпитание и обучение на децата и учениците към  03.2021г.</t>
  </si>
  <si>
    <t>ФИНАНСИРАНЕ 31.03.2021</t>
  </si>
  <si>
    <t>Справка за извършените разходи за дейностите по възпитание и обучение на децата и учениците към  04.2021г.</t>
  </si>
  <si>
    <t>ФИНАНСИРАНЕ 30.04.2021</t>
  </si>
  <si>
    <t>Справка за извършените разходи за дейностите по възпитание и обучение на децата и учениците към  05.2021г.</t>
  </si>
  <si>
    <t>ФИНАНСИРАНЕ 31.05.2021</t>
  </si>
  <si>
    <t>Справка за извършените разходи за дейностите по възпитание и обучение на децата и учениците към  06.2021г.</t>
  </si>
  <si>
    <t>ФИНАНСИРАНЕ 30.06.2021</t>
  </si>
  <si>
    <t>Справка за извършените разходи за дейностите по възпитание и обучение на децата и учениците към  07.2021г.</t>
  </si>
  <si>
    <t>ФИНАНСИРАНЕ 31.07.2021</t>
  </si>
  <si>
    <t>Справка за извършените разходи за дейностите по възпитание и обучение на децата и учениците към  08.2021г.</t>
  </si>
  <si>
    <t>ФИНАНСИРАНЕ 31.08.2021</t>
  </si>
  <si>
    <t>финансиране  30.09.2021</t>
  </si>
  <si>
    <t>финансиране  31.10.2021</t>
  </si>
  <si>
    <t>финансиране 31.12.2021</t>
  </si>
  <si>
    <t>финансиране  30.11.2022</t>
  </si>
  <si>
    <t>финансиране 31.12.2022</t>
  </si>
  <si>
    <t>Справка за извършените разходи за дейностите по възпитание и обучение на децата и учениците към  06.2023г.</t>
  </si>
  <si>
    <t>ФИНАНСИРАНЕ  30.06.2023</t>
  </si>
  <si>
    <t>Справка за извършените разходи за дейностите по възпитание и обучение на децата и учениците към  07.2023г.</t>
  </si>
  <si>
    <t>ФИНАНСИРАНЕ  31.07.2023</t>
  </si>
  <si>
    <t>Справка за извършените разходи за дейностите по възпитание и обучение на децата и учениците към  08.2023г.</t>
  </si>
  <si>
    <t>ФИНАНСИРАНЕ  31.08.2023</t>
  </si>
  <si>
    <t>Справка за извършените разходи за дейностите по възпитание и обучение на децата и учениците към  09.2023г.</t>
  </si>
  <si>
    <t>ФИНАНСИРАНЕ  30.09.2023</t>
  </si>
  <si>
    <t>Справка за извършените разходи за дейностите по възпитание и обучение на децата и учениците към 30.06.2023г.</t>
  </si>
  <si>
    <t>финансиране към 30.06.2023</t>
  </si>
  <si>
    <t>Справка за извършените разходи за дейностите по възпитание и обучение на децата и учениците към 31.07.2023г.</t>
  </si>
  <si>
    <t>финансиране към 31.07.2023</t>
  </si>
  <si>
    <t>Справка за извършените разходи за дейностите по възпитание и обучение на децата и учениците към 31.08.2023г.</t>
  </si>
  <si>
    <t>финансиране към 31.08.2023</t>
  </si>
  <si>
    <t>Справка за извършените разходи за дейностите по възпитание и обучение на децата и учениците към 30.09.2023г.</t>
  </si>
  <si>
    <t>финансиране към 30.09.2023</t>
  </si>
  <si>
    <t>Справка за извършените разходи за дейностите по възпитание и обучение на децата и учениците към 31.10.2023г.</t>
  </si>
  <si>
    <t>Справка за извършените разходи за дейностите по възпитание и обучение на децата и учениците към  10.2023г.</t>
  </si>
  <si>
    <t>ФИНАНСИРАНЕ  31.10.2023</t>
  </si>
  <si>
    <t>Справка за извършените разходи за дейностите по възпитание и обучение на децата и учениците към  11.2023г.</t>
  </si>
  <si>
    <t>ФИНАНСИРАНЕ  30.11.2023</t>
  </si>
  <si>
    <t>Справка за извършените разходи за дейностите по възпитание и обучение на децата и учениците към  12.2023г.</t>
  </si>
  <si>
    <t>ФИНАНСИРАНЕ  31.12.2023</t>
  </si>
  <si>
    <t>финансиране към 31.10.2023</t>
  </si>
  <si>
    <t>Справка за извършените разходи за дейностите по възпитание и обучение на децата и учениците към 30.11.2023г.</t>
  </si>
  <si>
    <t>финансиране към 30.11.2023</t>
  </si>
  <si>
    <t>Справка за извършените разходи за дейностите по възпитание и обучение на децата и учениците към 31.12.2023г.</t>
  </si>
  <si>
    <t>финансиране към 31.12.2023</t>
  </si>
  <si>
    <t>Приложение № 9 към чл. 118, ал. 2, т. 2</t>
  </si>
  <si>
    <t>(Изм. - ДВ, бр. 60 от 2023 г., в сила от 01.01.2024 г.)</t>
  </si>
  <si>
    <t>2. Извършени разходи за дейностите по възпитание и обучение на децата/учениците</t>
  </si>
  <si>
    <t>финансирани със средства от държавния бюджет</t>
  </si>
  <si>
    <t xml:space="preserve">3. Брой на назначените педагогически специалисти  8.5 щ. бр., в т.ч. учители 7 щ. бр.; директор и заместник-директори 1.5 щ. бр.; други длъжности на педагогически специалисти: 0 щ. бр.
    Забележки:
    1. Разходите по т. 15 да се опишат по елементи като приложение към справката.
    2. При попълване на т. 1 от таблицата следва да се съобрази изискването на чл. 117, ал. 1.
    3. Средствата по ред "Всичко разходи" от колони 2 и 3 не могат да надвишават предоставените средства за сметка на държавния бюджет.
    4. Броят на назначения персонал се попълва към датата на представяне на справката в МОН.
</t>
  </si>
  <si>
    <t>Детска градина/училище ЧЕГ СТОЯН САРИЕВ ЕООД</t>
  </si>
  <si>
    <t>Справка за извършените разходи за дейностите по възпитание и обучение на децата и учениците, за назначените педагогически специалисти за 2023 г. и за броя на децата/учениците, които се обучават без заплащане, по години от годината на включване на институцията в системата на предучилищното и училищното образование</t>
  </si>
  <si>
    <t xml:space="preserve">    3. Брой на назначените педагогически специалисти 8.5щ. бр., в т.ч. учители 7 щ. бр.; директор и заместник-директори 1.5 щ. бр.; други длъжности на педагогически специалисти: 0 щ. бр.
    Забележки:
    1. Разходите по т. 15 да се опишат по елементи като приложение към справката.
    2. При попълване на т. 1 от таблицата следва да се съобрази изискването на чл. 117, ал. 1.
    3. Средствата по ред "Всичко разходи" от колони 2 и 3 не могат да надвишават предоставените средства за сметка на държавния бюджет.
    4. Броят на назначения персонал се попълва към датата на представяне на справката в МОН.
</t>
  </si>
  <si>
    <t>1. Брой деца/ученици, обучавани без заплащане, в т. ч. по учебни години: 2020/2021г. 9 бр., 2021/2022г. 9бр.   2022/2023  9бр.</t>
  </si>
  <si>
    <t xml:space="preserve">Детска градина/училище ЧОУ БЪДЕЩЕ ЕООД
Справка за извършените разходи за дейностите по възпитание и обучение на децата и учениците, за назначените педагогически специалисти за 2023 г. и за броя на децата/учениците, които се обучават без заплащане, по години от годината на включване на институцията в системата на предучилищното и училищното образование
1. Брой деца/ученици, обучавани без заплащане, в т. ч. по учебни години: 2020/2021г.  6 бр., 2021/2022  15бр., 2022/2023г/19 бр.
     2. Извършени разходи за дейностите по възпитание и обучение на децата/учениците
</t>
  </si>
  <si>
    <t>Справка за извършените разходи за дейностите по възпитание и обучение на децата и учениците към 31.01.2024г.</t>
  </si>
  <si>
    <t>финансиране към 31.01.2024</t>
  </si>
  <si>
    <t>Справка за извършените разходи за дейностите по възпитание и обучение на децата и учениците към 29.02.2024г.</t>
  </si>
  <si>
    <t>финансиране към 29.02.2024</t>
  </si>
  <si>
    <t>Справка за извършените разходи за дейностите по възпитание и обучение на децата и учениците към 31.03.2024г.</t>
  </si>
  <si>
    <t>финансиране към 31.03.2024</t>
  </si>
  <si>
    <t>Справка за извършените разходи за дейностите по възпитание и обучение на децата и учениците към 30.04.2024г.</t>
  </si>
  <si>
    <t>финансиране към 30.04.2024</t>
  </si>
  <si>
    <t>Справка за извършените разходи за дейностите по възпитание и обучение на децата и учениците към 31.05.2024г.</t>
  </si>
  <si>
    <t>финансиране към 31.05.2024</t>
  </si>
  <si>
    <t>Справка за извършените разходи за дейностите по възпитание и обучение на децата и учениците към 30.06.2024г.</t>
  </si>
  <si>
    <t>Справка за извършените разходи за дейностите по възпитание и обучение на децата и учениците към  01.2024г.</t>
  </si>
  <si>
    <t>ФИНАНСИРАНЕ 31.01.2024</t>
  </si>
  <si>
    <t>Справка за извършените разходи за дейностите по възпитание и обучение на децата и учениците към  02.2024г.</t>
  </si>
  <si>
    <t>ФИНАНСИРАНЕ 29.02.2024</t>
  </si>
  <si>
    <t>Справка за извършените разходи за дейностите по възпитание и обучение на децата и учениците към  03.2024г.</t>
  </si>
  <si>
    <t>ФИНАНСИРАНЕ 31.03.2024</t>
  </si>
  <si>
    <t>Справка за извършените разходи за дейностите по възпитание и обучение на децата и учениците към  04.2024г.</t>
  </si>
  <si>
    <t>ФИНАНСИРАНЕ 30.04.2024</t>
  </si>
  <si>
    <t>Справка за извършените разходи за дейностите по възпитание и обучение на децата и учениците към  05.2024г.</t>
  </si>
  <si>
    <t>ФИНАНСИРАНЕ 31.05.2024</t>
  </si>
  <si>
    <t>Справка за извършените разходи за дейностите по възпитание и обучение на децата и учениците към  06.2024г.</t>
  </si>
  <si>
    <t>финансиране към 30.06.2024</t>
  </si>
  <si>
    <t>ФИНАНСИРАНЕ  30.06.2024</t>
  </si>
  <si>
    <t>Справка за извършените разходи за дейностите по възпитание и обучение на децата и учениците към  07.2024г.</t>
  </si>
  <si>
    <t>ФИНАНСИРАНЕ  31.07.2024</t>
  </si>
  <si>
    <t>Справка за извършените разходи за дейностите по възпитание и обучение на децата и учениците към  08.2024г.</t>
  </si>
  <si>
    <t>ФИНАНСИРАНЕ  31.08.2024</t>
  </si>
  <si>
    <t>Справка за извършените разходи за дейностите по възпитание и обучение на децата и учениците към  09.2024г.</t>
  </si>
  <si>
    <t>ФИНАНСИРАНЕ  30.09.2024</t>
  </si>
  <si>
    <t>Справка за извършените разходи за дейностите по възпитание и обучение на децата и учениците към  10.2024г.</t>
  </si>
  <si>
    <t>ФИНАНСИРАНЕ  31.10.2024</t>
  </si>
  <si>
    <t>Справка за извършените разходи за дейностите по възпитание и обучение на децата и учениците към  11.2024г.</t>
  </si>
  <si>
    <t>ФИНАНСИРАНЕ  30.11.2024</t>
  </si>
  <si>
    <t>Справка за извършените разходи за дейностите по възпитание и обучение на децата и учениците към  12.2024г.</t>
  </si>
  <si>
    <t>ФИНАНСИРАНЕ  31.12.2024</t>
  </si>
  <si>
    <t>Справка за извършените разходи за дейностите по възпитание и обучение на децата и учениците към 31.07.2024г.</t>
  </si>
  <si>
    <t>финансиране към 31.07.2024</t>
  </si>
  <si>
    <t>Справка за извършените разходи за дейностите по възпитание и обучение на децата и учениците към 31.08.2024г.</t>
  </si>
  <si>
    <t>финансиране към 31.08.2024</t>
  </si>
  <si>
    <t>Справка за извършените разходи за дейностите по възпитание и обучение на децата и учениците към 30.09.2024г.</t>
  </si>
  <si>
    <t>финансиране към 30.09.2024</t>
  </si>
  <si>
    <t>Справка за извършените разходи за дейностите по възпитание и обучение на децата и учениците към 31.10.2024г.</t>
  </si>
  <si>
    <t>финансиране към 31.10.2024</t>
  </si>
  <si>
    <t>Справка за извършените разходи за дейностите по възпитание и обучение на децата и учениците към 30.11.2024г.</t>
  </si>
  <si>
    <t>финансиране към 30.11.2024</t>
  </si>
  <si>
    <t>Справка за извършените разходи за дейностите по възпитание и обучение на децата и учениците към 31.12.2024г.</t>
  </si>
  <si>
    <t>финансиране към 31.12.2024</t>
  </si>
  <si>
    <t>Справка за извършените разходи за дейностите по възпитание и обучение на децата и учениците към 31.01.2025г.</t>
  </si>
  <si>
    <t>Справка за извършените разходи за дейностите по възпитание и обучение на децата и учениците към  01.2025г.</t>
  </si>
  <si>
    <t>ФИНАНСИРАНЕ 31.01.2025</t>
  </si>
  <si>
    <t>Справка за извършените разходи за дейностите по възпитание и обучение на децата и учениците към  02.2025г.</t>
  </si>
  <si>
    <t>ФИНАНСИРАНЕ 28.02.2025</t>
  </si>
  <si>
    <t>Справка за извършените разходи за дейностите по възпитание и обучение на децата и учениците към  03.2025г.</t>
  </si>
  <si>
    <t>Справка за извършените разходи за дейностите по възпитание и обучение на децата и учениците към  04.2025г.</t>
  </si>
  <si>
    <t>ФИНАНСИРАНЕ 31.03.2025</t>
  </si>
  <si>
    <t>ФИНАНСИРАНЕ 30.04.2025</t>
  </si>
  <si>
    <t>Справка за извършените разходи за дейностите по възпитание и обучение на децата и учениците към  05.2025г.</t>
  </si>
  <si>
    <t>ФИНАНСИРАНЕ 31.05.2025</t>
  </si>
  <si>
    <t>Справка за извършените разходи за дейностите по възпитание и обучение на децата и учениците към  06.2025г.</t>
  </si>
  <si>
    <t>ФИНАНСИРАНЕ  30.06.2025</t>
  </si>
  <si>
    <t>финансиране към 31.01.2025</t>
  </si>
  <si>
    <t>Справка за извършените разходи за дейностите по възпитание и обучение на децата и учениците към 28.02.2025г.</t>
  </si>
  <si>
    <t>финансиране към 28.02.2025</t>
  </si>
  <si>
    <t>Справка за извършените разходи за дейностите по възпитание и обучение на децата и учениците към 31.03.2025г.</t>
  </si>
  <si>
    <t>финансиране към 31.03.2025</t>
  </si>
  <si>
    <t>Справка за извършените разходи за дейностите по възпитание и обучение на децата и учениците към 30.04.2025г.</t>
  </si>
  <si>
    <t>финансиране към 30.04.2025</t>
  </si>
  <si>
    <t>Справка за извършените разходи за дейностите по възпитание и обучение на децата и учениците към 31.05.2025г.</t>
  </si>
  <si>
    <t>финансиране към 31.05.2025</t>
  </si>
  <si>
    <t>Справка за извършените разходи за дейностите по възпитание и обучение на децата и учениците към 30.06.2025г.</t>
  </si>
  <si>
    <t>финансиране към 30.06.2025</t>
  </si>
  <si>
    <t>Справка за извършените разходи за дейностите по възпитание и обучение на децата и учениците към  07.2025г.</t>
  </si>
  <si>
    <t>ФИНАНСИРАНЕ  31.07.2025</t>
  </si>
  <si>
    <t>Справка за извършените разходи за дейностите по възпитание и обучение на децата и учениците към  08.2025г.</t>
  </si>
  <si>
    <t>ФИНАНСИРАНЕ  31.08.2025</t>
  </si>
  <si>
    <t>Справка за извършените разходи за дейностите по възпитание и обучение на децата и учениците към  09.2025г.</t>
  </si>
  <si>
    <t>ФИНАНСИРАНЕ  30.09.2025</t>
  </si>
  <si>
    <t>Справка за извършените разходи за дейностите по възпитание и обучение на децата и учениците към  10.2025г.</t>
  </si>
  <si>
    <t>ФИНАНСИРАНЕ  31.10.2025</t>
  </si>
  <si>
    <t>Справка за извършените разходи за дейностите по възпитание и обучение на децата и учениците към 31.07.2025г.</t>
  </si>
  <si>
    <t>финансиране към 31.07.2025</t>
  </si>
  <si>
    <t>Справка за извършените разходи за дейностите по възпитание и обучение на децата и учениците към 31.08.2025г.</t>
  </si>
  <si>
    <t>финансиране към 31.08.2025</t>
  </si>
  <si>
    <t>Справка за извършените разходи за дейностите по възпитание и обучение на децата и учениците към 30.09.2025г.</t>
  </si>
  <si>
    <t>финансиране към 30.09.2025</t>
  </si>
  <si>
    <t>Справка за извършените разходи за дейностите по възпитание и обучение на децата и учениците към 31.10.2025г.</t>
  </si>
  <si>
    <t>финансиране към 31.10.2025</t>
  </si>
  <si>
    <t>Справка за извършените разходи за дейностите по възпитание и обучение на децата и учениците към 30.11.2025г.</t>
  </si>
  <si>
    <t>Справка за извършените разходи за дейностите по възпитание и обучение на децата и учениците към  11.2025г.</t>
  </si>
  <si>
    <t>ФИНАНСИРАНЕ  30.11.2025</t>
  </si>
  <si>
    <t>Справка за извършените разходи за дейностите по възпитание и обучение на децата и учениците към  12.2025г.</t>
  </si>
  <si>
    <t>ФИНАНСИРАНЕ  31.12.2025</t>
  </si>
  <si>
    <t>финансиране към 30.11.2025</t>
  </si>
  <si>
    <t>Справка за извършените разходи за дейностите по възпитание и обучение на децата и учениците към 31.12.2025г.</t>
  </si>
  <si>
    <t>финансиране към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</si>
</sst>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1" fontId="9" fillId="0" borderId="2" xfId="0" applyNumberFormat="1" applyFont="1" applyBorder="1" applyAlignment="1">
      <alignment vertical="center"/>
    </xf>
    <xf numFmtId="1" fontId="10" fillId="0" borderId="2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vertical="center" wrapText="1"/>
    </xf>
    <xf numFmtId="1" fontId="0" fillId="0" borderId="0" xfId="0" applyNumberFormat="1"/>
    <xf numFmtId="1" fontId="10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/>
    <xf numFmtId="1" fontId="0" fillId="0" borderId="10" xfId="0" applyNumberFormat="1" applyBorder="1"/>
    <xf numFmtId="1" fontId="10" fillId="0" borderId="1" xfId="0" applyNumberFormat="1" applyFont="1" applyBorder="1" applyAlignment="1">
      <alignment horizontal="center" vertical="center" wrapText="1"/>
    </xf>
    <xf numFmtId="1" fontId="10" fillId="0" borderId="0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9" fillId="0" borderId="0" xfId="0" applyFont="1"/>
    <xf numFmtId="1" fontId="9" fillId="0" borderId="0" xfId="0" applyNumberFormat="1" applyFont="1"/>
    <xf numFmtId="0" fontId="10" fillId="0" borderId="3" xfId="0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vertical="center" wrapText="1"/>
    </xf>
    <xf numFmtId="0" fontId="9" fillId="0" borderId="0" xfId="0" applyFont="1"/>
    <xf numFmtId="1" fontId="9" fillId="0" borderId="0" xfId="0" applyNumberFormat="1" applyFont="1"/>
    <xf numFmtId="0" fontId="10" fillId="0" borderId="3" xfId="0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vertical="center" wrapText="1"/>
    </xf>
    <xf numFmtId="0" fontId="9" fillId="0" borderId="0" xfId="0" applyFont="1"/>
    <xf numFmtId="1" fontId="9" fillId="0" borderId="0" xfId="0" applyNumberFormat="1" applyFont="1"/>
    <xf numFmtId="0" fontId="10" fillId="0" borderId="3" xfId="0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vertical="center" wrapText="1"/>
    </xf>
    <xf numFmtId="0" fontId="0" fillId="2" borderId="0" xfId="0" applyFill="1"/>
    <xf numFmtId="1" fontId="0" fillId="2" borderId="0" xfId="0" applyNumberFormat="1" applyFill="1"/>
    <xf numFmtId="0" fontId="10" fillId="0" borderId="3" xfId="0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vertical="center" wrapText="1"/>
    </xf>
    <xf numFmtId="0" fontId="9" fillId="0" borderId="0" xfId="0" applyFont="1"/>
    <xf numFmtId="1" fontId="9" fillId="0" borderId="0" xfId="0" applyNumberFormat="1" applyFont="1"/>
    <xf numFmtId="0" fontId="10" fillId="0" borderId="3" xfId="0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vertical="center" wrapText="1"/>
    </xf>
    <xf numFmtId="0" fontId="9" fillId="0" borderId="0" xfId="0" applyFont="1"/>
    <xf numFmtId="1" fontId="9" fillId="0" borderId="0" xfId="0" applyNumberFormat="1" applyFont="1"/>
    <xf numFmtId="0" fontId="9" fillId="0" borderId="0" xfId="0" applyFont="1"/>
    <xf numFmtId="1" fontId="9" fillId="0" borderId="0" xfId="0" applyNumberFormat="1" applyFont="1"/>
    <xf numFmtId="1" fontId="9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" fontId="10" fillId="0" borderId="1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1" fontId="0" fillId="0" borderId="0" xfId="0" applyNumberFormat="1" applyBorder="1"/>
    <xf numFmtId="0" fontId="0" fillId="0" borderId="0" xfId="0" applyBorder="1"/>
    <xf numFmtId="1" fontId="4" fillId="0" borderId="2" xfId="0" applyNumberFormat="1" applyFont="1" applyBorder="1" applyAlignment="1">
      <alignment horizontal="center" vertical="center"/>
    </xf>
    <xf numFmtId="1" fontId="10" fillId="0" borderId="24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1" fontId="4" fillId="0" borderId="0" xfId="0" applyNumberFormat="1" applyFont="1"/>
    <xf numFmtId="1" fontId="4" fillId="0" borderId="0" xfId="0" applyNumberFormat="1" applyFont="1" applyAlignment="1">
      <alignment vertical="center"/>
    </xf>
    <xf numFmtId="0" fontId="14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vertical="center" wrapText="1"/>
    </xf>
    <xf numFmtId="0" fontId="9" fillId="0" borderId="0" xfId="0" applyFont="1"/>
    <xf numFmtId="1" fontId="9" fillId="0" borderId="0" xfId="0" applyNumberFormat="1" applyFont="1"/>
    <xf numFmtId="1" fontId="10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1" fontId="9" fillId="0" borderId="0" xfId="0" applyNumberFormat="1" applyFont="1"/>
    <xf numFmtId="1" fontId="9" fillId="0" borderId="0" xfId="0" applyNumberFormat="1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vertical="center" wrapText="1"/>
    </xf>
    <xf numFmtId="1" fontId="10" fillId="0" borderId="24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1" fontId="9" fillId="0" borderId="0" xfId="0" applyNumberFormat="1" applyFont="1"/>
    <xf numFmtId="1" fontId="10" fillId="0" borderId="1" xfId="0" applyNumberFormat="1" applyFont="1" applyBorder="1" applyAlignment="1">
      <alignment horizontal="center" vertical="top" wrapText="1"/>
    </xf>
    <xf numFmtId="0" fontId="9" fillId="0" borderId="0" xfId="0" applyFont="1"/>
    <xf numFmtId="1" fontId="9" fillId="0" borderId="0" xfId="0" applyNumberFormat="1" applyFont="1"/>
    <xf numFmtId="1" fontId="3" fillId="0" borderId="2" xfId="0" applyNumberFormat="1" applyFont="1" applyBorder="1" applyAlignment="1">
      <alignment horizontal="center" vertical="center"/>
    </xf>
    <xf numFmtId="0" fontId="15" fillId="2" borderId="0" xfId="0" applyFont="1" applyFill="1"/>
    <xf numFmtId="1" fontId="15" fillId="2" borderId="0" xfId="0" applyNumberFormat="1" applyFont="1" applyFill="1"/>
    <xf numFmtId="1" fontId="15" fillId="0" borderId="0" xfId="0" applyNumberFormat="1" applyFont="1" applyBorder="1"/>
    <xf numFmtId="0" fontId="10" fillId="0" borderId="3" xfId="0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vertical="center" wrapText="1"/>
    </xf>
    <xf numFmtId="0" fontId="9" fillId="0" borderId="0" xfId="0" applyFont="1"/>
    <xf numFmtId="1" fontId="9" fillId="0" borderId="0" xfId="0" applyNumberFormat="1" applyFont="1"/>
    <xf numFmtId="1" fontId="9" fillId="0" borderId="0" xfId="0" applyNumberFormat="1" applyFont="1" applyAlignment="1">
      <alignment vertical="center"/>
    </xf>
    <xf numFmtId="1" fontId="10" fillId="0" borderId="24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vertical="center"/>
    </xf>
    <xf numFmtId="1" fontId="9" fillId="0" borderId="8" xfId="0" applyNumberFormat="1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1" fontId="9" fillId="0" borderId="6" xfId="0" applyNumberFormat="1" applyFont="1" applyBorder="1"/>
    <xf numFmtId="1" fontId="9" fillId="0" borderId="8" xfId="0" applyNumberFormat="1" applyFont="1" applyBorder="1"/>
    <xf numFmtId="1" fontId="10" fillId="0" borderId="6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1" fontId="10" fillId="0" borderId="7" xfId="0" applyNumberFormat="1" applyFont="1" applyBorder="1" applyAlignment="1">
      <alignment horizontal="center" vertical="center" wrapText="1"/>
    </xf>
    <xf numFmtId="1" fontId="9" fillId="0" borderId="12" xfId="0" applyNumberFormat="1" applyFont="1" applyBorder="1" applyAlignment="1">
      <alignment vertical="center" wrapText="1"/>
    </xf>
    <xf numFmtId="1" fontId="9" fillId="0" borderId="2" xfId="0" applyNumberFormat="1" applyFont="1" applyBorder="1" applyAlignment="1">
      <alignment vertical="center" wrapText="1"/>
    </xf>
    <xf numFmtId="1" fontId="9" fillId="0" borderId="6" xfId="0" applyNumberFormat="1" applyFont="1" applyBorder="1" applyAlignment="1">
      <alignment vertical="center" wrapText="1"/>
    </xf>
    <xf numFmtId="1" fontId="9" fillId="0" borderId="8" xfId="0" applyNumberFormat="1" applyFont="1" applyBorder="1" applyAlignment="1">
      <alignment vertical="center" wrapText="1"/>
    </xf>
    <xf numFmtId="1" fontId="11" fillId="0" borderId="0" xfId="0" applyNumberFormat="1" applyFont="1" applyAlignment="1">
      <alignment horizontal="center" vertical="center"/>
    </xf>
    <xf numFmtId="0" fontId="9" fillId="0" borderId="0" xfId="0" applyFont="1"/>
    <xf numFmtId="1" fontId="9" fillId="0" borderId="0" xfId="0" applyNumberFormat="1" applyFont="1"/>
    <xf numFmtId="1" fontId="9" fillId="0" borderId="0" xfId="0" applyNumberFormat="1" applyFont="1" applyAlignment="1">
      <alignment vertical="center"/>
    </xf>
    <xf numFmtId="1" fontId="6" fillId="0" borderId="6" xfId="0" applyNumberFormat="1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1" fontId="4" fillId="0" borderId="0" xfId="0" applyNumberFormat="1" applyFont="1" applyAlignment="1">
      <alignment vertical="center"/>
    </xf>
    <xf numFmtId="0" fontId="10" fillId="0" borderId="13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vertical="center" wrapText="1"/>
    </xf>
    <xf numFmtId="1" fontId="7" fillId="0" borderId="0" xfId="0" applyNumberFormat="1" applyFont="1" applyAlignment="1">
      <alignment vertical="center"/>
    </xf>
    <xf numFmtId="1" fontId="5" fillId="0" borderId="6" xfId="0" applyNumberFormat="1" applyFont="1" applyBorder="1" applyAlignment="1">
      <alignment vertical="center"/>
    </xf>
    <xf numFmtId="1" fontId="8" fillId="0" borderId="0" xfId="0" applyNumberFormat="1" applyFont="1" applyAlignment="1">
      <alignment vertical="center"/>
    </xf>
    <xf numFmtId="0" fontId="10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1" fontId="10" fillId="0" borderId="24" xfId="0" applyNumberFormat="1" applyFont="1" applyBorder="1" applyAlignment="1">
      <alignment horizontal="center" vertical="center" wrapText="1"/>
    </xf>
    <xf numFmtId="1" fontId="10" fillId="0" borderId="25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14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20" xfId="0" applyNumberFormat="1" applyFont="1" applyBorder="1" applyAlignment="1">
      <alignment horizontal="center" vertical="center" wrapText="1"/>
    </xf>
    <xf numFmtId="1" fontId="10" fillId="0" borderId="18" xfId="0" applyNumberFormat="1" applyFont="1" applyBorder="1" applyAlignment="1">
      <alignment horizontal="center" vertical="center" wrapText="1"/>
    </xf>
    <xf numFmtId="1" fontId="10" fillId="0" borderId="19" xfId="0" applyNumberFormat="1" applyFont="1" applyBorder="1" applyAlignment="1">
      <alignment horizontal="center" vertical="center" wrapText="1"/>
    </xf>
    <xf numFmtId="1" fontId="10" fillId="0" borderId="16" xfId="0" applyNumberFormat="1" applyFont="1" applyBorder="1" applyAlignment="1">
      <alignment horizontal="center" vertical="center" wrapText="1"/>
    </xf>
    <xf numFmtId="1" fontId="10" fillId="0" borderId="17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vertical="center" wrapText="1"/>
    </xf>
    <xf numFmtId="1" fontId="9" fillId="0" borderId="15" xfId="0" applyNumberFormat="1" applyFont="1" applyBorder="1" applyAlignment="1">
      <alignment vertical="center" wrapText="1"/>
    </xf>
    <xf numFmtId="1" fontId="2" fillId="0" borderId="6" xfId="0" applyNumberFormat="1" applyFont="1" applyBorder="1" applyAlignment="1">
      <alignment vertical="center"/>
    </xf>
  </cellXfs>
  <cellStyles count="1">
    <cellStyle name="Нормален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2"/>
  <sheetViews>
    <sheetView topLeftCell="A21" workbookViewId="0">
      <selection activeCell="A3" sqref="A3:H35"/>
    </sheetView>
  </sheetViews>
  <sheetFormatPr defaultRowHeight="15" x14ac:dyDescent="0.25"/>
  <cols>
    <col min="1" max="1" width="35.28515625" customWidth="1"/>
    <col min="2" max="2" width="25.85546875" style="10" customWidth="1"/>
    <col min="3" max="3" width="15.28515625" style="10" customWidth="1"/>
    <col min="4" max="4" width="19.42578125" style="10" customWidth="1"/>
    <col min="5" max="5" width="17.28515625" style="10" customWidth="1"/>
    <col min="6" max="6" width="11.28515625" style="10" customWidth="1"/>
    <col min="7" max="7" width="12.7109375" style="10" customWidth="1"/>
    <col min="8" max="8" width="7.5703125" style="10" customWidth="1"/>
  </cols>
  <sheetData>
    <row r="1" spans="1:9" x14ac:dyDescent="0.25">
      <c r="C1"/>
      <c r="D1"/>
      <c r="E1"/>
      <c r="F1"/>
      <c r="G1"/>
      <c r="H1"/>
    </row>
    <row r="3" spans="1:9" x14ac:dyDescent="0.25">
      <c r="A3" s="17"/>
      <c r="B3" s="18"/>
      <c r="C3" s="18"/>
      <c r="D3" s="18"/>
      <c r="E3" s="112" t="s">
        <v>29</v>
      </c>
      <c r="F3" s="112"/>
      <c r="G3" s="112"/>
      <c r="H3" s="112"/>
    </row>
    <row r="4" spans="1:9" x14ac:dyDescent="0.25">
      <c r="A4" s="113"/>
      <c r="B4" s="114"/>
      <c r="C4" s="114"/>
      <c r="D4" s="115"/>
      <c r="E4" s="115" t="s">
        <v>0</v>
      </c>
      <c r="F4" s="115"/>
      <c r="G4" s="115"/>
      <c r="H4" s="115"/>
    </row>
    <row r="5" spans="1:9" x14ac:dyDescent="0.25">
      <c r="A5" s="113"/>
      <c r="B5" s="114"/>
      <c r="C5" s="114"/>
      <c r="D5" s="115"/>
      <c r="E5" s="115" t="s">
        <v>1</v>
      </c>
      <c r="F5" s="115"/>
      <c r="G5" s="115"/>
      <c r="H5" s="115"/>
    </row>
    <row r="6" spans="1:9" ht="15.75" thickBot="1" x14ac:dyDescent="0.3">
      <c r="A6" s="98" t="s">
        <v>53</v>
      </c>
      <c r="B6" s="98"/>
      <c r="C6" s="98"/>
      <c r="D6" s="98"/>
      <c r="E6" s="98"/>
      <c r="F6" s="98"/>
      <c r="G6" s="99"/>
      <c r="H6" s="99"/>
    </row>
    <row r="7" spans="1:9" ht="15.75" thickBot="1" x14ac:dyDescent="0.3">
      <c r="A7" s="100" t="s">
        <v>2</v>
      </c>
      <c r="B7" s="103" t="s">
        <v>30</v>
      </c>
      <c r="C7" s="104"/>
      <c r="D7" s="104"/>
      <c r="E7" s="104"/>
      <c r="F7" s="104"/>
      <c r="G7" s="105" t="s">
        <v>3</v>
      </c>
      <c r="H7" s="106"/>
    </row>
    <row r="8" spans="1:9" ht="105.75" thickBot="1" x14ac:dyDescent="0.3">
      <c r="A8" s="101"/>
      <c r="B8" s="96" t="s">
        <v>30</v>
      </c>
      <c r="C8" s="107"/>
      <c r="D8" s="20" t="s">
        <v>32</v>
      </c>
      <c r="E8" s="107" t="s">
        <v>4</v>
      </c>
      <c r="F8" s="97"/>
      <c r="G8" s="108"/>
      <c r="H8" s="109"/>
    </row>
    <row r="9" spans="1:9" ht="165.75" thickBot="1" x14ac:dyDescent="0.3">
      <c r="A9" s="102"/>
      <c r="B9" s="7" t="s">
        <v>36</v>
      </c>
      <c r="C9" s="7" t="s">
        <v>5</v>
      </c>
      <c r="D9" s="7" t="s">
        <v>33</v>
      </c>
      <c r="E9" s="7" t="s">
        <v>34</v>
      </c>
      <c r="F9" s="7" t="s">
        <v>35</v>
      </c>
      <c r="G9" s="110"/>
      <c r="H9" s="111"/>
    </row>
    <row r="10" spans="1:9" ht="15.75" thickBot="1" x14ac:dyDescent="0.3">
      <c r="A10" s="19">
        <v>1</v>
      </c>
      <c r="B10" s="7">
        <v>2</v>
      </c>
      <c r="C10" s="11">
        <v>3</v>
      </c>
      <c r="D10" s="7">
        <v>4</v>
      </c>
      <c r="E10" s="11">
        <v>5</v>
      </c>
      <c r="F10" s="7">
        <v>6</v>
      </c>
      <c r="G10" s="96" t="s">
        <v>37</v>
      </c>
      <c r="H10" s="97"/>
    </row>
    <row r="11" spans="1:9" ht="60.75" thickBot="1" x14ac:dyDescent="0.3">
      <c r="A11" s="2" t="s">
        <v>7</v>
      </c>
      <c r="B11" s="6">
        <f>B12</f>
        <v>5042.6000000000004</v>
      </c>
      <c r="C11" s="12"/>
      <c r="D11" s="6">
        <f>D12</f>
        <v>1592.3999999999996</v>
      </c>
      <c r="E11" s="8" t="s">
        <v>8</v>
      </c>
      <c r="F11" s="8" t="s">
        <v>8</v>
      </c>
      <c r="G11" s="90">
        <f>10945+566-G13</f>
        <v>9073</v>
      </c>
      <c r="H11" s="91"/>
    </row>
    <row r="12" spans="1:9" ht="15.75" thickBot="1" x14ac:dyDescent="0.3">
      <c r="A12" s="3" t="s">
        <v>9</v>
      </c>
      <c r="B12" s="6">
        <f>G12*76%</f>
        <v>5042.6000000000004</v>
      </c>
      <c r="C12" s="12"/>
      <c r="D12" s="21">
        <f t="shared" ref="D12:D17" si="0">G12-B12</f>
        <v>1592.3999999999996</v>
      </c>
      <c r="E12" s="8" t="s">
        <v>8</v>
      </c>
      <c r="F12" s="8" t="s">
        <v>8</v>
      </c>
      <c r="G12" s="90">
        <f>G11-G13</f>
        <v>6635</v>
      </c>
      <c r="H12" s="91"/>
      <c r="I12">
        <f>G12/K19</f>
        <v>0.68030349636009435</v>
      </c>
    </row>
    <row r="13" spans="1:9" ht="15.75" thickBot="1" x14ac:dyDescent="0.3">
      <c r="A13" s="2" t="s">
        <v>10</v>
      </c>
      <c r="B13" s="6">
        <f>G13*76%</f>
        <v>1852.88</v>
      </c>
      <c r="C13" s="12"/>
      <c r="D13" s="31">
        <f t="shared" si="0"/>
        <v>585.11999999999989</v>
      </c>
      <c r="E13" s="8" t="s">
        <v>8</v>
      </c>
      <c r="F13" s="8" t="s">
        <v>8</v>
      </c>
      <c r="G13" s="90">
        <v>2438</v>
      </c>
      <c r="H13" s="91"/>
    </row>
    <row r="14" spans="1:9" ht="60.75" thickBot="1" x14ac:dyDescent="0.3">
      <c r="A14" s="2" t="s">
        <v>11</v>
      </c>
      <c r="B14" s="6">
        <f>G14*76%</f>
        <v>2369.6799999999998</v>
      </c>
      <c r="C14" s="12"/>
      <c r="D14" s="21">
        <f t="shared" si="0"/>
        <v>748.32000000000016</v>
      </c>
      <c r="E14" s="8" t="s">
        <v>8</v>
      </c>
      <c r="F14" s="8" t="s">
        <v>8</v>
      </c>
      <c r="G14" s="90">
        <v>3118</v>
      </c>
      <c r="H14" s="91"/>
      <c r="I14">
        <f>G14/K19</f>
        <v>0.31969650363990565</v>
      </c>
    </row>
    <row r="15" spans="1:9" ht="30.75" thickBot="1" x14ac:dyDescent="0.3">
      <c r="A15" s="2" t="s">
        <v>12</v>
      </c>
      <c r="B15" s="6">
        <f>G15*76%</f>
        <v>0</v>
      </c>
      <c r="C15" s="12"/>
      <c r="D15" s="21">
        <f t="shared" si="0"/>
        <v>0</v>
      </c>
      <c r="E15" s="8" t="s">
        <v>8</v>
      </c>
      <c r="F15" s="8" t="s">
        <v>8</v>
      </c>
      <c r="G15" s="90"/>
      <c r="H15" s="91"/>
      <c r="I15">
        <f>G15/K19</f>
        <v>0</v>
      </c>
    </row>
    <row r="16" spans="1:9" ht="15.75" thickBot="1" x14ac:dyDescent="0.3">
      <c r="A16" s="2" t="s">
        <v>13</v>
      </c>
      <c r="B16" s="6">
        <f>G16*56%</f>
        <v>0</v>
      </c>
      <c r="C16" s="6"/>
      <c r="D16" s="21">
        <f t="shared" si="0"/>
        <v>0</v>
      </c>
      <c r="E16" s="8" t="s">
        <v>8</v>
      </c>
      <c r="F16" s="8" t="s">
        <v>8</v>
      </c>
      <c r="G16" s="90">
        <v>0</v>
      </c>
      <c r="H16" s="91"/>
    </row>
    <row r="17" spans="1:11" ht="30.75" thickBot="1" x14ac:dyDescent="0.3">
      <c r="A17" s="2" t="s">
        <v>14</v>
      </c>
      <c r="B17" s="6">
        <f>G17*56%</f>
        <v>53.760000000000005</v>
      </c>
      <c r="C17" s="6"/>
      <c r="D17" s="21">
        <f t="shared" si="0"/>
        <v>42.239999999999995</v>
      </c>
      <c r="E17" s="8" t="s">
        <v>8</v>
      </c>
      <c r="F17" s="8" t="s">
        <v>8</v>
      </c>
      <c r="G17" s="90">
        <f>96</f>
        <v>96</v>
      </c>
      <c r="H17" s="91"/>
    </row>
    <row r="18" spans="1:11" ht="45.75" thickBot="1" x14ac:dyDescent="0.3">
      <c r="A18" s="2" t="s">
        <v>15</v>
      </c>
      <c r="B18" s="8" t="s">
        <v>8</v>
      </c>
      <c r="C18" s="8" t="s">
        <v>8</v>
      </c>
      <c r="D18" s="6"/>
      <c r="E18" s="8" t="s">
        <v>8</v>
      </c>
      <c r="F18" s="8" t="s">
        <v>8</v>
      </c>
      <c r="G18" s="90"/>
      <c r="H18" s="91"/>
    </row>
    <row r="19" spans="1:11" ht="15.75" thickBot="1" x14ac:dyDescent="0.3">
      <c r="A19" s="2" t="s">
        <v>16</v>
      </c>
      <c r="B19" s="8" t="s">
        <v>8</v>
      </c>
      <c r="C19" s="8" t="s">
        <v>8</v>
      </c>
      <c r="D19" s="12"/>
      <c r="E19" s="6">
        <v>0</v>
      </c>
      <c r="F19" s="6"/>
      <c r="G19" s="90">
        <v>0</v>
      </c>
      <c r="H19" s="91"/>
      <c r="I19" s="10">
        <f>G11+G14+G15</f>
        <v>12191</v>
      </c>
      <c r="K19" s="10">
        <f>G12+G14+G15</f>
        <v>9753</v>
      </c>
    </row>
    <row r="20" spans="1:11" ht="15.75" thickBot="1" x14ac:dyDescent="0.3">
      <c r="A20" s="3" t="s">
        <v>17</v>
      </c>
      <c r="B20" s="6">
        <f>G20*56%</f>
        <v>0</v>
      </c>
      <c r="C20" s="8"/>
      <c r="D20" s="6"/>
      <c r="E20" s="6">
        <f>G20-B20</f>
        <v>0</v>
      </c>
      <c r="F20" s="6"/>
      <c r="G20" s="90">
        <v>0</v>
      </c>
      <c r="H20" s="91"/>
      <c r="I20">
        <f>12116.67+2512.3</f>
        <v>14628.970000000001</v>
      </c>
    </row>
    <row r="21" spans="1:11" ht="15.75" thickBot="1" x14ac:dyDescent="0.3">
      <c r="A21" s="3" t="s">
        <v>18</v>
      </c>
      <c r="B21" s="6"/>
      <c r="C21" s="8"/>
      <c r="D21" s="8"/>
      <c r="E21" s="6"/>
      <c r="F21" s="6"/>
      <c r="G21" s="90"/>
      <c r="H21" s="91"/>
      <c r="I21" s="10">
        <f>I20-G11-G14-G15</f>
        <v>2437.9700000000012</v>
      </c>
    </row>
    <row r="22" spans="1:11" ht="45.75" thickBot="1" x14ac:dyDescent="0.3">
      <c r="A22" s="2" t="s">
        <v>19</v>
      </c>
      <c r="B22" s="6"/>
      <c r="C22" s="8"/>
      <c r="D22" s="6"/>
      <c r="E22" s="6"/>
      <c r="F22" s="6"/>
      <c r="G22" s="94"/>
      <c r="H22" s="95"/>
    </row>
    <row r="23" spans="1:11" ht="30.75" thickBot="1" x14ac:dyDescent="0.3">
      <c r="A23" s="2" t="s">
        <v>20</v>
      </c>
      <c r="B23" s="6">
        <f>G23*56%</f>
        <v>67.2</v>
      </c>
      <c r="C23" s="8"/>
      <c r="D23" s="31">
        <f>G23-B23</f>
        <v>52.8</v>
      </c>
      <c r="E23" s="6"/>
      <c r="F23" s="6"/>
      <c r="G23" s="90">
        <v>120</v>
      </c>
      <c r="H23" s="91"/>
    </row>
    <row r="24" spans="1:11" ht="30.75" thickBot="1" x14ac:dyDescent="0.3">
      <c r="A24" s="2" t="s">
        <v>21</v>
      </c>
      <c r="B24" s="6">
        <f>G24*56%</f>
        <v>258.72000000000003</v>
      </c>
      <c r="C24" s="6"/>
      <c r="D24" s="21">
        <f>G24-B24</f>
        <v>203.27999999999997</v>
      </c>
      <c r="E24" s="8" t="s">
        <v>8</v>
      </c>
      <c r="F24" s="8" t="s">
        <v>8</v>
      </c>
      <c r="G24" s="90">
        <v>462</v>
      </c>
      <c r="H24" s="91"/>
    </row>
    <row r="25" spans="1:11" ht="15.75" thickBot="1" x14ac:dyDescent="0.3">
      <c r="A25" s="3" t="s">
        <v>22</v>
      </c>
      <c r="B25" s="6">
        <f>G25*56%</f>
        <v>300.72000000000003</v>
      </c>
      <c r="C25" s="6"/>
      <c r="D25" s="31">
        <f>G25-B25</f>
        <v>236.27999999999997</v>
      </c>
      <c r="E25" s="8" t="s">
        <v>8</v>
      </c>
      <c r="F25" s="8" t="s">
        <v>8</v>
      </c>
      <c r="G25" s="90">
        <v>537</v>
      </c>
      <c r="H25" s="91"/>
    </row>
    <row r="26" spans="1:11" ht="15.75" thickBot="1" x14ac:dyDescent="0.3">
      <c r="A26" s="3" t="s">
        <v>23</v>
      </c>
      <c r="B26" s="8" t="s">
        <v>8</v>
      </c>
      <c r="C26" s="12"/>
      <c r="D26" s="8" t="s">
        <v>8</v>
      </c>
      <c r="E26" s="8" t="s">
        <v>8</v>
      </c>
      <c r="F26" s="8" t="s">
        <v>8</v>
      </c>
      <c r="G26" s="94"/>
      <c r="H26" s="95"/>
    </row>
    <row r="27" spans="1:11" ht="15.75" thickBot="1" x14ac:dyDescent="0.3">
      <c r="A27" s="3" t="s">
        <v>24</v>
      </c>
      <c r="B27" s="6">
        <f>G27*56%</f>
        <v>0</v>
      </c>
      <c r="C27" s="6"/>
      <c r="D27" s="6"/>
      <c r="E27" s="8" t="s">
        <v>8</v>
      </c>
      <c r="F27" s="8" t="s">
        <v>8</v>
      </c>
      <c r="G27" s="90"/>
      <c r="H27" s="91"/>
    </row>
    <row r="28" spans="1:11" ht="15.75" thickBot="1" x14ac:dyDescent="0.3">
      <c r="A28" s="4" t="s">
        <v>25</v>
      </c>
      <c r="B28" s="6">
        <f>SUM(B12:B27)</f>
        <v>9945.56</v>
      </c>
      <c r="C28" s="6"/>
      <c r="D28" s="6">
        <f>SUM(D12:D27)</f>
        <v>3460.4399999999996</v>
      </c>
      <c r="E28" s="6">
        <f>SUM(E12:E27)</f>
        <v>0</v>
      </c>
      <c r="F28" s="6"/>
      <c r="G28" s="90">
        <f>SUM(G12:H27)</f>
        <v>13406</v>
      </c>
      <c r="H28" s="91"/>
    </row>
    <row r="29" spans="1:11" x14ac:dyDescent="0.25">
      <c r="A29" s="92" t="s">
        <v>26</v>
      </c>
      <c r="B29" s="92"/>
      <c r="C29" s="92"/>
      <c r="D29" s="92"/>
      <c r="E29" s="92"/>
      <c r="F29" s="92"/>
      <c r="G29" s="92"/>
      <c r="H29" s="92"/>
    </row>
    <row r="30" spans="1:11" x14ac:dyDescent="0.25">
      <c r="A30" s="93" t="s">
        <v>27</v>
      </c>
      <c r="B30" s="93"/>
      <c r="C30" s="93"/>
      <c r="D30" s="93"/>
      <c r="E30" s="93"/>
      <c r="F30" s="93"/>
      <c r="G30" s="93"/>
      <c r="H30" s="93"/>
    </row>
    <row r="31" spans="1:11" x14ac:dyDescent="0.25">
      <c r="A31" s="93" t="s">
        <v>28</v>
      </c>
      <c r="B31" s="93"/>
      <c r="C31" s="93"/>
      <c r="D31" s="93"/>
      <c r="E31" s="93"/>
      <c r="F31" s="93"/>
      <c r="G31" s="93"/>
      <c r="H31" s="93"/>
    </row>
    <row r="32" spans="1:11" x14ac:dyDescent="0.25">
      <c r="A32" s="1"/>
      <c r="B32" s="9"/>
      <c r="C32" s="9"/>
      <c r="D32" s="9"/>
      <c r="E32" s="9"/>
      <c r="F32" s="9"/>
      <c r="G32" s="9"/>
      <c r="H32" s="9"/>
    </row>
    <row r="33" spans="1:8" ht="15.75" x14ac:dyDescent="0.25">
      <c r="A33" s="5"/>
      <c r="B33" s="13" t="s">
        <v>54</v>
      </c>
      <c r="C33" s="13">
        <v>0</v>
      </c>
    </row>
    <row r="34" spans="1:8" x14ac:dyDescent="0.25">
      <c r="B34" s="13" t="s">
        <v>55</v>
      </c>
      <c r="C34" s="13">
        <v>34509</v>
      </c>
    </row>
    <row r="35" spans="1:8" x14ac:dyDescent="0.25">
      <c r="B35" s="10">
        <f>C33-B28</f>
        <v>-9945.56</v>
      </c>
      <c r="C35"/>
      <c r="D35"/>
      <c r="E35"/>
      <c r="F35"/>
      <c r="G35"/>
      <c r="H35"/>
    </row>
    <row r="42" spans="1:8" x14ac:dyDescent="0.25">
      <c r="A42" s="17"/>
      <c r="B42" s="18"/>
      <c r="C42" s="18"/>
      <c r="D42" s="18"/>
      <c r="E42" s="112" t="s">
        <v>29</v>
      </c>
      <c r="F42" s="112"/>
      <c r="G42" s="112"/>
      <c r="H42" s="112"/>
    </row>
    <row r="43" spans="1:8" x14ac:dyDescent="0.25">
      <c r="A43" s="113"/>
      <c r="B43" s="114"/>
      <c r="C43" s="114"/>
      <c r="D43" s="115"/>
      <c r="E43" s="115" t="s">
        <v>0</v>
      </c>
      <c r="F43" s="115"/>
      <c r="G43" s="115"/>
      <c r="H43" s="115"/>
    </row>
    <row r="44" spans="1:8" x14ac:dyDescent="0.25">
      <c r="A44" s="113"/>
      <c r="B44" s="114"/>
      <c r="C44" s="114"/>
      <c r="D44" s="115"/>
      <c r="E44" s="115" t="s">
        <v>1</v>
      </c>
      <c r="F44" s="115"/>
      <c r="G44" s="115"/>
      <c r="H44" s="115"/>
    </row>
    <row r="45" spans="1:8" ht="15.75" thickBot="1" x14ac:dyDescent="0.3">
      <c r="A45" s="98" t="s">
        <v>56</v>
      </c>
      <c r="B45" s="98"/>
      <c r="C45" s="98"/>
      <c r="D45" s="98"/>
      <c r="E45" s="98"/>
      <c r="F45" s="98"/>
      <c r="G45" s="99"/>
      <c r="H45" s="99"/>
    </row>
    <row r="46" spans="1:8" ht="15.75" thickBot="1" x14ac:dyDescent="0.3">
      <c r="A46" s="100" t="s">
        <v>2</v>
      </c>
      <c r="B46" s="103" t="s">
        <v>30</v>
      </c>
      <c r="C46" s="104"/>
      <c r="D46" s="104"/>
      <c r="E46" s="104"/>
      <c r="F46" s="104"/>
      <c r="G46" s="105" t="s">
        <v>3</v>
      </c>
      <c r="H46" s="106"/>
    </row>
    <row r="47" spans="1:8" ht="105.75" thickBot="1" x14ac:dyDescent="0.3">
      <c r="A47" s="101"/>
      <c r="B47" s="96" t="s">
        <v>30</v>
      </c>
      <c r="C47" s="107"/>
      <c r="D47" s="20" t="s">
        <v>32</v>
      </c>
      <c r="E47" s="107" t="s">
        <v>4</v>
      </c>
      <c r="F47" s="97"/>
      <c r="G47" s="108"/>
      <c r="H47" s="109"/>
    </row>
    <row r="48" spans="1:8" ht="165.75" thickBot="1" x14ac:dyDescent="0.3">
      <c r="A48" s="102"/>
      <c r="B48" s="7" t="s">
        <v>36</v>
      </c>
      <c r="C48" s="7" t="s">
        <v>5</v>
      </c>
      <c r="D48" s="7" t="s">
        <v>33</v>
      </c>
      <c r="E48" s="7" t="s">
        <v>34</v>
      </c>
      <c r="F48" s="7" t="s">
        <v>35</v>
      </c>
      <c r="G48" s="110"/>
      <c r="H48" s="111"/>
    </row>
    <row r="49" spans="1:9" ht="15.75" thickBot="1" x14ac:dyDescent="0.3">
      <c r="A49" s="19">
        <v>1</v>
      </c>
      <c r="B49" s="7">
        <v>2</v>
      </c>
      <c r="C49" s="11">
        <v>3</v>
      </c>
      <c r="D49" s="7">
        <v>4</v>
      </c>
      <c r="E49" s="11">
        <v>5</v>
      </c>
      <c r="F49" s="7">
        <v>6</v>
      </c>
      <c r="G49" s="96" t="s">
        <v>37</v>
      </c>
      <c r="H49" s="97"/>
    </row>
    <row r="50" spans="1:9" ht="60.75" thickBot="1" x14ac:dyDescent="0.3">
      <c r="A50" s="2" t="s">
        <v>7</v>
      </c>
      <c r="B50" s="6">
        <f>B51</f>
        <v>15680.32</v>
      </c>
      <c r="C50" s="12"/>
      <c r="D50" s="6">
        <f>D51</f>
        <v>4951.68</v>
      </c>
      <c r="E50" s="8" t="s">
        <v>8</v>
      </c>
      <c r="F50" s="8" t="s">
        <v>8</v>
      </c>
      <c r="G50" s="90">
        <f>22603-68+535</f>
        <v>23070</v>
      </c>
      <c r="H50" s="91"/>
    </row>
    <row r="51" spans="1:9" ht="15.75" thickBot="1" x14ac:dyDescent="0.3">
      <c r="A51" s="3" t="s">
        <v>9</v>
      </c>
      <c r="B51" s="6">
        <f>G51*76%</f>
        <v>15680.32</v>
      </c>
      <c r="C51" s="12"/>
      <c r="D51" s="21">
        <f t="shared" ref="D51:D56" si="1">G51-B51</f>
        <v>4951.68</v>
      </c>
      <c r="E51" s="8" t="s">
        <v>8</v>
      </c>
      <c r="F51" s="8" t="s">
        <v>8</v>
      </c>
      <c r="G51" s="90">
        <f>G50-G52</f>
        <v>20632</v>
      </c>
      <c r="H51" s="91"/>
    </row>
    <row r="52" spans="1:9" ht="15.75" thickBot="1" x14ac:dyDescent="0.3">
      <c r="A52" s="2" t="s">
        <v>10</v>
      </c>
      <c r="B52" s="6">
        <f>G52*76%</f>
        <v>1852.88</v>
      </c>
      <c r="C52" s="12"/>
      <c r="D52" s="31">
        <f t="shared" si="1"/>
        <v>585.11999999999989</v>
      </c>
      <c r="E52" s="8" t="s">
        <v>8</v>
      </c>
      <c r="F52" s="8" t="s">
        <v>8</v>
      </c>
      <c r="G52" s="90">
        <v>2438</v>
      </c>
      <c r="H52" s="91"/>
    </row>
    <row r="53" spans="1:9" ht="60.75" thickBot="1" x14ac:dyDescent="0.3">
      <c r="A53" s="2" t="s">
        <v>11</v>
      </c>
      <c r="B53" s="6">
        <f>G53*76%</f>
        <v>5350.4</v>
      </c>
      <c r="C53" s="12"/>
      <c r="D53" s="21">
        <f t="shared" si="1"/>
        <v>1689.6000000000004</v>
      </c>
      <c r="E53" s="8" t="s">
        <v>8</v>
      </c>
      <c r="F53" s="8" t="s">
        <v>8</v>
      </c>
      <c r="G53" s="90">
        <f>7070-30</f>
        <v>7040</v>
      </c>
      <c r="H53" s="91"/>
    </row>
    <row r="54" spans="1:9" ht="30.75" thickBot="1" x14ac:dyDescent="0.3">
      <c r="A54" s="2" t="s">
        <v>12</v>
      </c>
      <c r="B54" s="6">
        <f>G54*76%</f>
        <v>74.48</v>
      </c>
      <c r="C54" s="12"/>
      <c r="D54" s="21">
        <f t="shared" si="1"/>
        <v>23.519999999999996</v>
      </c>
      <c r="E54" s="8" t="s">
        <v>8</v>
      </c>
      <c r="F54" s="8" t="s">
        <v>8</v>
      </c>
      <c r="G54" s="90">
        <f>68+30</f>
        <v>98</v>
      </c>
      <c r="H54" s="91"/>
      <c r="I54" s="10">
        <f>G50+G53+G54</f>
        <v>30208</v>
      </c>
    </row>
    <row r="55" spans="1:9" ht="15.75" thickBot="1" x14ac:dyDescent="0.3">
      <c r="A55" s="2" t="s">
        <v>13</v>
      </c>
      <c r="B55" s="6">
        <f>G55*56%</f>
        <v>0</v>
      </c>
      <c r="C55" s="6"/>
      <c r="D55" s="21">
        <f t="shared" si="1"/>
        <v>0</v>
      </c>
      <c r="E55" s="8" t="s">
        <v>8</v>
      </c>
      <c r="F55" s="8" t="s">
        <v>8</v>
      </c>
      <c r="G55" s="90">
        <v>0</v>
      </c>
      <c r="H55" s="91"/>
      <c r="I55" s="10">
        <f>30208-I54</f>
        <v>0</v>
      </c>
    </row>
    <row r="56" spans="1:9" ht="30.75" thickBot="1" x14ac:dyDescent="0.3">
      <c r="A56" s="2" t="s">
        <v>14</v>
      </c>
      <c r="B56" s="6">
        <f>G56*56%</f>
        <v>61.040000000000006</v>
      </c>
      <c r="C56" s="6"/>
      <c r="D56" s="21">
        <f t="shared" si="1"/>
        <v>47.959999999999994</v>
      </c>
      <c r="E56" s="8" t="s">
        <v>8</v>
      </c>
      <c r="F56" s="8" t="s">
        <v>8</v>
      </c>
      <c r="G56" s="90">
        <v>109</v>
      </c>
      <c r="H56" s="91"/>
    </row>
    <row r="57" spans="1:9" ht="45.75" thickBot="1" x14ac:dyDescent="0.3">
      <c r="A57" s="2" t="s">
        <v>15</v>
      </c>
      <c r="B57" s="8" t="s">
        <v>8</v>
      </c>
      <c r="C57" s="8" t="s">
        <v>8</v>
      </c>
      <c r="D57" s="6"/>
      <c r="E57" s="8" t="s">
        <v>8</v>
      </c>
      <c r="F57" s="8" t="s">
        <v>8</v>
      </c>
      <c r="G57" s="90"/>
      <c r="H57" s="91"/>
    </row>
    <row r="58" spans="1:9" ht="15.75" thickBot="1" x14ac:dyDescent="0.3">
      <c r="A58" s="2" t="s">
        <v>16</v>
      </c>
      <c r="B58" s="8" t="s">
        <v>8</v>
      </c>
      <c r="C58" s="8" t="s">
        <v>8</v>
      </c>
      <c r="D58" s="12"/>
      <c r="E58" s="6">
        <v>0</v>
      </c>
      <c r="F58" s="6"/>
      <c r="G58" s="90">
        <v>0</v>
      </c>
      <c r="H58" s="91"/>
    </row>
    <row r="59" spans="1:9" ht="15.75" thickBot="1" x14ac:dyDescent="0.3">
      <c r="A59" s="3" t="s">
        <v>17</v>
      </c>
      <c r="B59" s="6">
        <f>G59*56%</f>
        <v>0</v>
      </c>
      <c r="C59" s="8"/>
      <c r="D59" s="6"/>
      <c r="E59" s="6">
        <f>G59-B59</f>
        <v>0</v>
      </c>
      <c r="F59" s="6"/>
      <c r="G59" s="90">
        <v>0</v>
      </c>
      <c r="H59" s="91"/>
    </row>
    <row r="60" spans="1:9" ht="15.75" thickBot="1" x14ac:dyDescent="0.3">
      <c r="A60" s="3" t="s">
        <v>18</v>
      </c>
      <c r="B60" s="6"/>
      <c r="C60" s="8"/>
      <c r="D60" s="8"/>
      <c r="E60" s="6"/>
      <c r="F60" s="6"/>
      <c r="G60" s="90"/>
      <c r="H60" s="91"/>
    </row>
    <row r="61" spans="1:9" ht="45.75" thickBot="1" x14ac:dyDescent="0.3">
      <c r="A61" s="2" t="s">
        <v>19</v>
      </c>
      <c r="B61" s="6"/>
      <c r="C61" s="8"/>
      <c r="D61" s="6"/>
      <c r="E61" s="6"/>
      <c r="F61" s="6"/>
      <c r="G61" s="94"/>
      <c r="H61" s="95"/>
    </row>
    <row r="62" spans="1:9" ht="30.75" thickBot="1" x14ac:dyDescent="0.3">
      <c r="A62" s="2" t="s">
        <v>20</v>
      </c>
      <c r="B62" s="6">
        <f>G62*56%</f>
        <v>134.4</v>
      </c>
      <c r="C62" s="8"/>
      <c r="D62" s="6"/>
      <c r="E62" s="6">
        <f>G62-B62</f>
        <v>105.6</v>
      </c>
      <c r="F62" s="6"/>
      <c r="G62" s="90">
        <v>240</v>
      </c>
      <c r="H62" s="91"/>
    </row>
    <row r="63" spans="1:9" ht="30.75" thickBot="1" x14ac:dyDescent="0.3">
      <c r="A63" s="2" t="s">
        <v>21</v>
      </c>
      <c r="B63" s="6">
        <f>G63*56%</f>
        <v>1058.4000000000001</v>
      </c>
      <c r="C63" s="6"/>
      <c r="D63" s="21">
        <f>G63-B63</f>
        <v>831.59999999999991</v>
      </c>
      <c r="E63" s="8" t="s">
        <v>8</v>
      </c>
      <c r="F63" s="8" t="s">
        <v>8</v>
      </c>
      <c r="G63" s="90">
        <v>1890</v>
      </c>
      <c r="H63" s="91"/>
    </row>
    <row r="64" spans="1:9" ht="15.75" thickBot="1" x14ac:dyDescent="0.3">
      <c r="A64" s="3" t="s">
        <v>22</v>
      </c>
      <c r="B64" s="6">
        <f>G64*56%</f>
        <v>21.840000000000003</v>
      </c>
      <c r="C64" s="6"/>
      <c r="D64" s="31">
        <f>G64-B64</f>
        <v>17.159999999999997</v>
      </c>
      <c r="E64" s="8" t="s">
        <v>8</v>
      </c>
      <c r="F64" s="8" t="s">
        <v>8</v>
      </c>
      <c r="G64" s="90">
        <v>39</v>
      </c>
      <c r="H64" s="91"/>
    </row>
    <row r="65" spans="1:8" ht="15.75" thickBot="1" x14ac:dyDescent="0.3">
      <c r="A65" s="3" t="s">
        <v>23</v>
      </c>
      <c r="B65" s="8" t="s">
        <v>8</v>
      </c>
      <c r="C65" s="12"/>
      <c r="D65" s="8" t="s">
        <v>8</v>
      </c>
      <c r="E65" s="8" t="s">
        <v>8</v>
      </c>
      <c r="F65" s="8" t="s">
        <v>8</v>
      </c>
      <c r="G65" s="94"/>
      <c r="H65" s="95"/>
    </row>
    <row r="66" spans="1:8" ht="15.75" thickBot="1" x14ac:dyDescent="0.3">
      <c r="A66" s="3" t="s">
        <v>24</v>
      </c>
      <c r="B66" s="6">
        <f>G66*56%</f>
        <v>0</v>
      </c>
      <c r="C66" s="6"/>
      <c r="D66" s="6"/>
      <c r="E66" s="8" t="s">
        <v>8</v>
      </c>
      <c r="F66" s="8" t="s">
        <v>8</v>
      </c>
      <c r="G66" s="90"/>
      <c r="H66" s="91"/>
    </row>
    <row r="67" spans="1:8" ht="15.75" thickBot="1" x14ac:dyDescent="0.3">
      <c r="A67" s="4" t="s">
        <v>25</v>
      </c>
      <c r="B67" s="6">
        <f>SUM(B51:B66)</f>
        <v>24233.760000000002</v>
      </c>
      <c r="C67" s="6"/>
      <c r="D67" s="6">
        <f>SUM(D51:D66)</f>
        <v>8146.6400000000012</v>
      </c>
      <c r="E67" s="6">
        <f>SUM(E51:E66)</f>
        <v>105.6</v>
      </c>
      <c r="F67" s="6"/>
      <c r="G67" s="90">
        <f>SUM(G51:H66)</f>
        <v>32486</v>
      </c>
      <c r="H67" s="91"/>
    </row>
    <row r="68" spans="1:8" x14ac:dyDescent="0.25">
      <c r="A68" s="92" t="s">
        <v>26</v>
      </c>
      <c r="B68" s="92"/>
      <c r="C68" s="92"/>
      <c r="D68" s="92"/>
      <c r="E68" s="92"/>
      <c r="F68" s="92"/>
      <c r="G68" s="92"/>
      <c r="H68" s="92"/>
    </row>
    <row r="69" spans="1:8" x14ac:dyDescent="0.25">
      <c r="A69" s="93" t="s">
        <v>27</v>
      </c>
      <c r="B69" s="93"/>
      <c r="C69" s="93"/>
      <c r="D69" s="93"/>
      <c r="E69" s="93"/>
      <c r="F69" s="93"/>
      <c r="G69" s="93"/>
      <c r="H69" s="93"/>
    </row>
    <row r="70" spans="1:8" x14ac:dyDescent="0.25">
      <c r="A70" s="93" t="s">
        <v>28</v>
      </c>
      <c r="B70" s="93"/>
      <c r="C70" s="93"/>
      <c r="D70" s="93"/>
      <c r="E70" s="93"/>
      <c r="F70" s="93"/>
      <c r="G70" s="93"/>
      <c r="H70" s="93"/>
    </row>
    <row r="71" spans="1:8" x14ac:dyDescent="0.25">
      <c r="A71" s="1"/>
      <c r="B71" s="9"/>
      <c r="C71" s="9"/>
      <c r="D71" s="9"/>
      <c r="E71" s="9"/>
      <c r="F71" s="9"/>
      <c r="G71" s="9"/>
      <c r="H71" s="9"/>
    </row>
    <row r="72" spans="1:8" ht="15.75" x14ac:dyDescent="0.25">
      <c r="A72" s="5"/>
      <c r="B72" s="13" t="s">
        <v>57</v>
      </c>
      <c r="C72" s="13">
        <v>37492</v>
      </c>
    </row>
    <row r="74" spans="1:8" x14ac:dyDescent="0.25">
      <c r="B74" s="10">
        <f>C72-B67</f>
        <v>13258.239999999998</v>
      </c>
      <c r="C74"/>
      <c r="D74"/>
      <c r="E74"/>
      <c r="F74"/>
      <c r="G74"/>
      <c r="H74"/>
    </row>
    <row r="78" spans="1:8" x14ac:dyDescent="0.25">
      <c r="A78" s="17"/>
      <c r="B78" s="18"/>
      <c r="C78" s="18"/>
      <c r="D78" s="18"/>
      <c r="E78" s="112" t="s">
        <v>29</v>
      </c>
      <c r="F78" s="112"/>
      <c r="G78" s="112"/>
      <c r="H78" s="112"/>
    </row>
    <row r="79" spans="1:8" x14ac:dyDescent="0.25">
      <c r="A79" s="113"/>
      <c r="B79" s="114"/>
      <c r="C79" s="114"/>
      <c r="D79" s="115"/>
      <c r="E79" s="115" t="s">
        <v>0</v>
      </c>
      <c r="F79" s="115"/>
      <c r="G79" s="115"/>
      <c r="H79" s="115"/>
    </row>
    <row r="80" spans="1:8" x14ac:dyDescent="0.25">
      <c r="A80" s="113"/>
      <c r="B80" s="114"/>
      <c r="C80" s="114"/>
      <c r="D80" s="115"/>
      <c r="E80" s="115" t="s">
        <v>1</v>
      </c>
      <c r="F80" s="115"/>
      <c r="G80" s="115"/>
      <c r="H80" s="115"/>
    </row>
    <row r="81" spans="1:9" ht="15.75" thickBot="1" x14ac:dyDescent="0.3">
      <c r="A81" s="98" t="s">
        <v>43</v>
      </c>
      <c r="B81" s="98"/>
      <c r="C81" s="98"/>
      <c r="D81" s="98"/>
      <c r="E81" s="98"/>
      <c r="F81" s="98"/>
      <c r="G81" s="99"/>
      <c r="H81" s="99"/>
    </row>
    <row r="82" spans="1:9" ht="15.75" thickBot="1" x14ac:dyDescent="0.3">
      <c r="A82" s="100" t="s">
        <v>2</v>
      </c>
      <c r="B82" s="103" t="s">
        <v>30</v>
      </c>
      <c r="C82" s="104"/>
      <c r="D82" s="104"/>
      <c r="E82" s="104"/>
      <c r="F82" s="104"/>
      <c r="G82" s="105" t="s">
        <v>3</v>
      </c>
      <c r="H82" s="106"/>
    </row>
    <row r="83" spans="1:9" ht="105.75" thickBot="1" x14ac:dyDescent="0.3">
      <c r="A83" s="101"/>
      <c r="B83" s="96" t="s">
        <v>30</v>
      </c>
      <c r="C83" s="107"/>
      <c r="D83" s="20" t="s">
        <v>32</v>
      </c>
      <c r="E83" s="107" t="s">
        <v>4</v>
      </c>
      <c r="F83" s="97"/>
      <c r="G83" s="108"/>
      <c r="H83" s="109"/>
    </row>
    <row r="84" spans="1:9" ht="165.75" thickBot="1" x14ac:dyDescent="0.3">
      <c r="A84" s="102"/>
      <c r="B84" s="7" t="s">
        <v>36</v>
      </c>
      <c r="C84" s="7" t="s">
        <v>5</v>
      </c>
      <c r="D84" s="7" t="s">
        <v>33</v>
      </c>
      <c r="E84" s="7" t="s">
        <v>34</v>
      </c>
      <c r="F84" s="7" t="s">
        <v>35</v>
      </c>
      <c r="G84" s="110"/>
      <c r="H84" s="111"/>
    </row>
    <row r="85" spans="1:9" ht="15.75" thickBot="1" x14ac:dyDescent="0.3">
      <c r="A85" s="19">
        <v>1</v>
      </c>
      <c r="B85" s="7">
        <v>2</v>
      </c>
      <c r="C85" s="11">
        <v>3</v>
      </c>
      <c r="D85" s="7">
        <v>4</v>
      </c>
      <c r="E85" s="11">
        <v>5</v>
      </c>
      <c r="F85" s="7">
        <v>6</v>
      </c>
      <c r="G85" s="96" t="s">
        <v>37</v>
      </c>
      <c r="H85" s="97"/>
    </row>
    <row r="86" spans="1:9" ht="60.75" thickBot="1" x14ac:dyDescent="0.3">
      <c r="A86" s="2" t="s">
        <v>7</v>
      </c>
      <c r="B86" s="6">
        <f>B87</f>
        <v>24509.24</v>
      </c>
      <c r="C86" s="12"/>
      <c r="D86" s="6">
        <f>D87</f>
        <v>7739.7599999999984</v>
      </c>
      <c r="E86" s="8" t="s">
        <v>8</v>
      </c>
      <c r="F86" s="8" t="s">
        <v>8</v>
      </c>
      <c r="G86" s="90">
        <f>34827-140</f>
        <v>34687</v>
      </c>
      <c r="H86" s="91"/>
    </row>
    <row r="87" spans="1:9" ht="15.75" thickBot="1" x14ac:dyDescent="0.3">
      <c r="A87" s="3" t="s">
        <v>9</v>
      </c>
      <c r="B87" s="6">
        <f>G87*76%</f>
        <v>24509.24</v>
      </c>
      <c r="C87" s="12"/>
      <c r="D87" s="21">
        <f t="shared" ref="D87:D92" si="2">G87-B87</f>
        <v>7739.7599999999984</v>
      </c>
      <c r="E87" s="8" t="s">
        <v>8</v>
      </c>
      <c r="F87" s="8" t="s">
        <v>8</v>
      </c>
      <c r="G87" s="90">
        <f>G86-2438</f>
        <v>32249</v>
      </c>
      <c r="H87" s="91"/>
    </row>
    <row r="88" spans="1:9" ht="15.75" thickBot="1" x14ac:dyDescent="0.3">
      <c r="A88" s="2" t="s">
        <v>10</v>
      </c>
      <c r="B88" s="6">
        <f>G88*76%</f>
        <v>1852.88</v>
      </c>
      <c r="C88" s="12"/>
      <c r="D88" s="31">
        <f t="shared" si="2"/>
        <v>585.11999999999989</v>
      </c>
      <c r="E88" s="8" t="s">
        <v>8</v>
      </c>
      <c r="F88" s="8" t="s">
        <v>8</v>
      </c>
      <c r="G88" s="90">
        <v>2438</v>
      </c>
      <c r="H88" s="91"/>
    </row>
    <row r="89" spans="1:9" ht="60.75" thickBot="1" x14ac:dyDescent="0.3">
      <c r="A89" s="2" t="s">
        <v>11</v>
      </c>
      <c r="B89" s="6">
        <f>G89*76%</f>
        <v>8676.16</v>
      </c>
      <c r="C89" s="12"/>
      <c r="D89" s="21">
        <f t="shared" si="2"/>
        <v>2739.84</v>
      </c>
      <c r="E89" s="8" t="s">
        <v>8</v>
      </c>
      <c r="F89" s="8" t="s">
        <v>8</v>
      </c>
      <c r="G89" s="90">
        <f>11475-59</f>
        <v>11416</v>
      </c>
      <c r="H89" s="91"/>
    </row>
    <row r="90" spans="1:9" ht="30.75" thickBot="1" x14ac:dyDescent="0.3">
      <c r="A90" s="2" t="s">
        <v>12</v>
      </c>
      <c r="B90" s="6">
        <f>G90*76%</f>
        <v>151.24</v>
      </c>
      <c r="C90" s="12"/>
      <c r="D90" s="21">
        <f t="shared" si="2"/>
        <v>47.759999999999991</v>
      </c>
      <c r="E90" s="8" t="s">
        <v>8</v>
      </c>
      <c r="F90" s="8" t="s">
        <v>8</v>
      </c>
      <c r="G90" s="90">
        <f>140+59</f>
        <v>199</v>
      </c>
      <c r="H90" s="91"/>
      <c r="I90" s="10">
        <f>G86+G89+G90</f>
        <v>46302</v>
      </c>
    </row>
    <row r="91" spans="1:9" ht="15.75" thickBot="1" x14ac:dyDescent="0.3">
      <c r="A91" s="2" t="s">
        <v>13</v>
      </c>
      <c r="B91" s="6">
        <f>G91*56%</f>
        <v>0</v>
      </c>
      <c r="C91" s="6"/>
      <c r="D91" s="21">
        <f t="shared" si="2"/>
        <v>0</v>
      </c>
      <c r="E91" s="8" t="s">
        <v>8</v>
      </c>
      <c r="F91" s="8" t="s">
        <v>8</v>
      </c>
      <c r="G91" s="90">
        <v>0</v>
      </c>
      <c r="H91" s="91"/>
      <c r="I91">
        <f>37982+8321</f>
        <v>46303</v>
      </c>
    </row>
    <row r="92" spans="1:9" ht="30.75" thickBot="1" x14ac:dyDescent="0.3">
      <c r="A92" s="2" t="s">
        <v>14</v>
      </c>
      <c r="B92" s="6">
        <f>G92*56%</f>
        <v>273.28000000000003</v>
      </c>
      <c r="C92" s="6"/>
      <c r="D92" s="21">
        <f t="shared" si="2"/>
        <v>214.71999999999997</v>
      </c>
      <c r="E92" s="8" t="s">
        <v>8</v>
      </c>
      <c r="F92" s="8" t="s">
        <v>8</v>
      </c>
      <c r="G92" s="90">
        <v>488</v>
      </c>
      <c r="H92" s="91"/>
    </row>
    <row r="93" spans="1:9" ht="45.75" thickBot="1" x14ac:dyDescent="0.3">
      <c r="A93" s="2" t="s">
        <v>15</v>
      </c>
      <c r="B93" s="8" t="s">
        <v>8</v>
      </c>
      <c r="C93" s="8" t="s">
        <v>8</v>
      </c>
      <c r="D93" s="6"/>
      <c r="E93" s="8" t="s">
        <v>8</v>
      </c>
      <c r="F93" s="8" t="s">
        <v>8</v>
      </c>
      <c r="G93" s="90"/>
      <c r="H93" s="91"/>
    </row>
    <row r="94" spans="1:9" ht="15.75" thickBot="1" x14ac:dyDescent="0.3">
      <c r="A94" s="2" t="s">
        <v>16</v>
      </c>
      <c r="B94" s="8" t="s">
        <v>8</v>
      </c>
      <c r="C94" s="8" t="s">
        <v>8</v>
      </c>
      <c r="D94" s="12"/>
      <c r="E94" s="6"/>
      <c r="F94" s="6"/>
      <c r="G94" s="90"/>
      <c r="H94" s="91"/>
    </row>
    <row r="95" spans="1:9" ht="15.75" thickBot="1" x14ac:dyDescent="0.3">
      <c r="A95" s="3" t="s">
        <v>17</v>
      </c>
      <c r="B95" s="6">
        <f>G95*56%</f>
        <v>0</v>
      </c>
      <c r="C95" s="8"/>
      <c r="D95" s="6"/>
      <c r="E95" s="6">
        <f>G95-B95</f>
        <v>0</v>
      </c>
      <c r="F95" s="6"/>
      <c r="G95" s="90">
        <v>0</v>
      </c>
      <c r="H95" s="91"/>
    </row>
    <row r="96" spans="1:9" ht="15.75" thickBot="1" x14ac:dyDescent="0.3">
      <c r="A96" s="3" t="s">
        <v>18</v>
      </c>
      <c r="B96" s="6"/>
      <c r="C96" s="8"/>
      <c r="D96" s="8"/>
      <c r="E96" s="6"/>
      <c r="F96" s="6"/>
      <c r="G96" s="90"/>
      <c r="H96" s="91"/>
    </row>
    <row r="97" spans="1:8" ht="45.75" thickBot="1" x14ac:dyDescent="0.3">
      <c r="A97" s="2" t="s">
        <v>19</v>
      </c>
      <c r="B97" s="6"/>
      <c r="C97" s="8"/>
      <c r="D97" s="6"/>
      <c r="E97" s="6"/>
      <c r="F97" s="6"/>
      <c r="G97" s="94"/>
      <c r="H97" s="95"/>
    </row>
    <row r="98" spans="1:8" ht="30.75" thickBot="1" x14ac:dyDescent="0.3">
      <c r="A98" s="2" t="s">
        <v>20</v>
      </c>
      <c r="B98" s="6">
        <f>G98*56%</f>
        <v>201.60000000000002</v>
      </c>
      <c r="C98" s="8"/>
      <c r="D98" s="6"/>
      <c r="E98" s="6">
        <f>G98-B98</f>
        <v>158.39999999999998</v>
      </c>
      <c r="F98" s="6"/>
      <c r="G98" s="90">
        <v>360</v>
      </c>
      <c r="H98" s="91"/>
    </row>
    <row r="99" spans="1:8" ht="30.75" thickBot="1" x14ac:dyDescent="0.3">
      <c r="A99" s="2" t="s">
        <v>21</v>
      </c>
      <c r="B99" s="6">
        <f>G99*56%</f>
        <v>1732.0800000000002</v>
      </c>
      <c r="C99" s="6"/>
      <c r="D99" s="21">
        <f>G99-B99</f>
        <v>1360.9199999999998</v>
      </c>
      <c r="E99" s="8" t="s">
        <v>8</v>
      </c>
      <c r="F99" s="8" t="s">
        <v>8</v>
      </c>
      <c r="G99" s="90">
        <v>3093</v>
      </c>
      <c r="H99" s="91"/>
    </row>
    <row r="100" spans="1:8" ht="15.75" thickBot="1" x14ac:dyDescent="0.3">
      <c r="A100" s="3" t="s">
        <v>22</v>
      </c>
      <c r="B100" s="6">
        <f>G100*56%</f>
        <v>36.400000000000006</v>
      </c>
      <c r="C100" s="6"/>
      <c r="D100" s="31">
        <f>G100-B100</f>
        <v>28.599999999999994</v>
      </c>
      <c r="E100" s="8" t="s">
        <v>8</v>
      </c>
      <c r="F100" s="8" t="s">
        <v>8</v>
      </c>
      <c r="G100" s="90">
        <v>65</v>
      </c>
      <c r="H100" s="91"/>
    </row>
    <row r="101" spans="1:8" ht="15.75" thickBot="1" x14ac:dyDescent="0.3">
      <c r="A101" s="3" t="s">
        <v>23</v>
      </c>
      <c r="B101" s="8" t="s">
        <v>8</v>
      </c>
      <c r="C101" s="12"/>
      <c r="D101" s="8" t="s">
        <v>8</v>
      </c>
      <c r="E101" s="8" t="s">
        <v>8</v>
      </c>
      <c r="F101" s="8" t="s">
        <v>8</v>
      </c>
      <c r="G101" s="94"/>
      <c r="H101" s="95"/>
    </row>
    <row r="102" spans="1:8" ht="15.75" thickBot="1" x14ac:dyDescent="0.3">
      <c r="A102" s="3" t="s">
        <v>24</v>
      </c>
      <c r="B102" s="6">
        <f>G102*56%</f>
        <v>0</v>
      </c>
      <c r="C102" s="6"/>
      <c r="D102" s="6"/>
      <c r="E102" s="8" t="s">
        <v>8</v>
      </c>
      <c r="F102" s="8" t="s">
        <v>8</v>
      </c>
      <c r="G102" s="90"/>
      <c r="H102" s="91"/>
    </row>
    <row r="103" spans="1:8" ht="15.75" thickBot="1" x14ac:dyDescent="0.3">
      <c r="A103" s="4" t="s">
        <v>25</v>
      </c>
      <c r="B103" s="6">
        <f>SUM(B87:B102)</f>
        <v>37432.879999999997</v>
      </c>
      <c r="C103" s="6"/>
      <c r="D103" s="6">
        <f>SUM(D87:D102)</f>
        <v>12716.719999999998</v>
      </c>
      <c r="E103" s="6">
        <f>SUM(E87:E102)</f>
        <v>158.39999999999998</v>
      </c>
      <c r="F103" s="6"/>
      <c r="G103" s="90">
        <f>SUM(G87:H102)</f>
        <v>50308</v>
      </c>
      <c r="H103" s="91"/>
    </row>
    <row r="104" spans="1:8" x14ac:dyDescent="0.25">
      <c r="A104" s="92" t="s">
        <v>26</v>
      </c>
      <c r="B104" s="92"/>
      <c r="C104" s="92"/>
      <c r="D104" s="92"/>
      <c r="E104" s="92"/>
      <c r="F104" s="92"/>
      <c r="G104" s="92"/>
      <c r="H104" s="92"/>
    </row>
    <row r="105" spans="1:8" x14ac:dyDescent="0.25">
      <c r="A105" s="93" t="s">
        <v>27</v>
      </c>
      <c r="B105" s="93"/>
      <c r="C105" s="93"/>
      <c r="D105" s="93"/>
      <c r="E105" s="93"/>
      <c r="F105" s="93"/>
      <c r="G105" s="93"/>
      <c r="H105" s="93"/>
    </row>
    <row r="106" spans="1:8" x14ac:dyDescent="0.25">
      <c r="A106" s="93" t="s">
        <v>28</v>
      </c>
      <c r="B106" s="93"/>
      <c r="C106" s="93"/>
      <c r="D106" s="93"/>
      <c r="E106" s="93"/>
      <c r="F106" s="93"/>
      <c r="G106" s="93"/>
      <c r="H106" s="93"/>
    </row>
    <row r="107" spans="1:8" x14ac:dyDescent="0.25">
      <c r="A107" s="1"/>
      <c r="B107" s="9"/>
      <c r="C107" s="9"/>
      <c r="D107" s="9"/>
      <c r="E107" s="9"/>
      <c r="F107" s="9"/>
      <c r="G107" s="9"/>
      <c r="H107" s="9"/>
    </row>
    <row r="108" spans="1:8" ht="15.75" x14ac:dyDescent="0.25">
      <c r="A108" s="5"/>
    </row>
    <row r="109" spans="1:8" x14ac:dyDescent="0.25">
      <c r="B109" s="13" t="s">
        <v>44</v>
      </c>
      <c r="C109" s="13">
        <v>37492</v>
      </c>
    </row>
    <row r="110" spans="1:8" x14ac:dyDescent="0.25">
      <c r="B110" s="10">
        <f>C109-B103</f>
        <v>59.120000000002619</v>
      </c>
      <c r="C110"/>
      <c r="D110"/>
      <c r="E110"/>
      <c r="F110"/>
      <c r="G110"/>
      <c r="H110"/>
    </row>
    <row r="117" spans="1:8" x14ac:dyDescent="0.25">
      <c r="A117" s="17"/>
      <c r="B117" s="18"/>
      <c r="C117" s="18"/>
      <c r="D117" s="18"/>
      <c r="E117" s="112" t="s">
        <v>29</v>
      </c>
      <c r="F117" s="112"/>
      <c r="G117" s="112"/>
      <c r="H117" s="112"/>
    </row>
    <row r="118" spans="1:8" x14ac:dyDescent="0.25">
      <c r="A118" s="113"/>
      <c r="B118" s="114"/>
      <c r="C118" s="114"/>
      <c r="D118" s="115"/>
      <c r="E118" s="115" t="s">
        <v>0</v>
      </c>
      <c r="F118" s="115"/>
      <c r="G118" s="115"/>
      <c r="H118" s="115"/>
    </row>
    <row r="119" spans="1:8" x14ac:dyDescent="0.25">
      <c r="A119" s="113"/>
      <c r="B119" s="114"/>
      <c r="C119" s="114"/>
      <c r="D119" s="115"/>
      <c r="E119" s="115" t="s">
        <v>1</v>
      </c>
      <c r="F119" s="115"/>
      <c r="G119" s="115"/>
      <c r="H119" s="115"/>
    </row>
    <row r="120" spans="1:8" ht="15.75" thickBot="1" x14ac:dyDescent="0.3">
      <c r="A120" s="98" t="s">
        <v>58</v>
      </c>
      <c r="B120" s="98"/>
      <c r="C120" s="98"/>
      <c r="D120" s="98"/>
      <c r="E120" s="98"/>
      <c r="F120" s="98"/>
      <c r="G120" s="99"/>
      <c r="H120" s="99"/>
    </row>
    <row r="121" spans="1:8" ht="15.75" thickBot="1" x14ac:dyDescent="0.3">
      <c r="A121" s="100" t="s">
        <v>2</v>
      </c>
      <c r="B121" s="103" t="s">
        <v>30</v>
      </c>
      <c r="C121" s="104"/>
      <c r="D121" s="104"/>
      <c r="E121" s="104"/>
      <c r="F121" s="104"/>
      <c r="G121" s="105" t="s">
        <v>3</v>
      </c>
      <c r="H121" s="106"/>
    </row>
    <row r="122" spans="1:8" ht="105.75" thickBot="1" x14ac:dyDescent="0.3">
      <c r="A122" s="101"/>
      <c r="B122" s="96" t="s">
        <v>30</v>
      </c>
      <c r="C122" s="107"/>
      <c r="D122" s="20" t="s">
        <v>32</v>
      </c>
      <c r="E122" s="107" t="s">
        <v>4</v>
      </c>
      <c r="F122" s="97"/>
      <c r="G122" s="108"/>
      <c r="H122" s="109"/>
    </row>
    <row r="123" spans="1:8" ht="165.75" thickBot="1" x14ac:dyDescent="0.3">
      <c r="A123" s="102"/>
      <c r="B123" s="7" t="s">
        <v>36</v>
      </c>
      <c r="C123" s="7" t="s">
        <v>5</v>
      </c>
      <c r="D123" s="7" t="s">
        <v>33</v>
      </c>
      <c r="E123" s="7" t="s">
        <v>34</v>
      </c>
      <c r="F123" s="7" t="s">
        <v>35</v>
      </c>
      <c r="G123" s="110"/>
      <c r="H123" s="111"/>
    </row>
    <row r="124" spans="1:8" ht="15.75" thickBot="1" x14ac:dyDescent="0.3">
      <c r="A124" s="19">
        <v>1</v>
      </c>
      <c r="B124" s="7">
        <v>2</v>
      </c>
      <c r="C124" s="11">
        <v>3</v>
      </c>
      <c r="D124" s="7">
        <v>4</v>
      </c>
      <c r="E124" s="11">
        <v>5</v>
      </c>
      <c r="F124" s="7">
        <v>6</v>
      </c>
      <c r="G124" s="96" t="s">
        <v>37</v>
      </c>
      <c r="H124" s="97"/>
    </row>
    <row r="125" spans="1:8" ht="60.75" thickBot="1" x14ac:dyDescent="0.3">
      <c r="A125" s="2" t="s">
        <v>7</v>
      </c>
      <c r="B125" s="6">
        <f>B126</f>
        <v>32933.840000000004</v>
      </c>
      <c r="C125" s="12"/>
      <c r="D125" s="6">
        <f>D126</f>
        <v>10400.159999999996</v>
      </c>
      <c r="E125" s="8" t="s">
        <v>8</v>
      </c>
      <c r="F125" s="8" t="s">
        <v>8</v>
      </c>
      <c r="G125" s="90">
        <f>45964-192</f>
        <v>45772</v>
      </c>
      <c r="H125" s="91"/>
    </row>
    <row r="126" spans="1:8" ht="15.75" thickBot="1" x14ac:dyDescent="0.3">
      <c r="A126" s="3" t="s">
        <v>9</v>
      </c>
      <c r="B126" s="6">
        <f>G126*76%</f>
        <v>32933.840000000004</v>
      </c>
      <c r="C126" s="12"/>
      <c r="D126" s="21">
        <f t="shared" ref="D126:D131" si="3">G126-B126</f>
        <v>10400.159999999996</v>
      </c>
      <c r="E126" s="8" t="s">
        <v>8</v>
      </c>
      <c r="F126" s="8" t="s">
        <v>8</v>
      </c>
      <c r="G126" s="90">
        <f>G125-G127</f>
        <v>43334</v>
      </c>
      <c r="H126" s="91"/>
    </row>
    <row r="127" spans="1:8" ht="15.75" thickBot="1" x14ac:dyDescent="0.3">
      <c r="A127" s="2" t="s">
        <v>10</v>
      </c>
      <c r="B127" s="6">
        <f>G127*76%</f>
        <v>1852.88</v>
      </c>
      <c r="C127" s="12"/>
      <c r="D127" s="31">
        <f t="shared" si="3"/>
        <v>585.11999999999989</v>
      </c>
      <c r="E127" s="8" t="s">
        <v>8</v>
      </c>
      <c r="F127" s="8" t="s">
        <v>8</v>
      </c>
      <c r="G127" s="90">
        <v>2438</v>
      </c>
      <c r="H127" s="91"/>
    </row>
    <row r="128" spans="1:8" ht="60.75" thickBot="1" x14ac:dyDescent="0.3">
      <c r="A128" s="2" t="s">
        <v>11</v>
      </c>
      <c r="B128" s="6">
        <f>G128*76%</f>
        <v>11603.68</v>
      </c>
      <c r="C128" s="12"/>
      <c r="D128" s="21">
        <f t="shared" si="3"/>
        <v>3664.3199999999997</v>
      </c>
      <c r="E128" s="8" t="s">
        <v>8</v>
      </c>
      <c r="F128" s="8" t="s">
        <v>8</v>
      </c>
      <c r="G128" s="90">
        <f>15347-79</f>
        <v>15268</v>
      </c>
      <c r="H128" s="91"/>
    </row>
    <row r="129" spans="1:9" ht="30.75" thickBot="1" x14ac:dyDescent="0.3">
      <c r="A129" s="2" t="s">
        <v>12</v>
      </c>
      <c r="B129" s="6">
        <f>G129*76%</f>
        <v>205.96</v>
      </c>
      <c r="C129" s="12"/>
      <c r="D129" s="21">
        <f t="shared" si="3"/>
        <v>65.039999999999992</v>
      </c>
      <c r="E129" s="8" t="s">
        <v>8</v>
      </c>
      <c r="F129" s="8" t="s">
        <v>8</v>
      </c>
      <c r="G129" s="90">
        <f>79+192</f>
        <v>271</v>
      </c>
      <c r="H129" s="91"/>
      <c r="I129" s="10">
        <f>G129+G128+G125</f>
        <v>61311</v>
      </c>
    </row>
    <row r="130" spans="1:9" ht="15.75" thickBot="1" x14ac:dyDescent="0.3">
      <c r="A130" s="2" t="s">
        <v>13</v>
      </c>
      <c r="B130" s="6">
        <f>G130*56%</f>
        <v>0</v>
      </c>
      <c r="C130" s="6"/>
      <c r="D130" s="21">
        <f t="shared" si="3"/>
        <v>0</v>
      </c>
      <c r="E130" s="8" t="s">
        <v>8</v>
      </c>
      <c r="F130" s="8" t="s">
        <v>8</v>
      </c>
      <c r="G130" s="90">
        <v>0</v>
      </c>
      <c r="H130" s="91"/>
    </row>
    <row r="131" spans="1:9" ht="30.75" thickBot="1" x14ac:dyDescent="0.3">
      <c r="A131" s="2" t="s">
        <v>14</v>
      </c>
      <c r="B131" s="6">
        <f>G131*56%</f>
        <v>327.04000000000002</v>
      </c>
      <c r="C131" s="6"/>
      <c r="D131" s="21">
        <f t="shared" si="3"/>
        <v>256.95999999999998</v>
      </c>
      <c r="E131" s="8" t="s">
        <v>8</v>
      </c>
      <c r="F131" s="8" t="s">
        <v>8</v>
      </c>
      <c r="G131" s="90">
        <v>584</v>
      </c>
      <c r="H131" s="91"/>
    </row>
    <row r="132" spans="1:9" ht="45.75" thickBot="1" x14ac:dyDescent="0.3">
      <c r="A132" s="2" t="s">
        <v>15</v>
      </c>
      <c r="B132" s="8" t="s">
        <v>8</v>
      </c>
      <c r="C132" s="8" t="s">
        <v>8</v>
      </c>
      <c r="D132" s="6"/>
      <c r="E132" s="8" t="s">
        <v>8</v>
      </c>
      <c r="F132" s="8" t="s">
        <v>8</v>
      </c>
      <c r="G132" s="90"/>
      <c r="H132" s="91"/>
    </row>
    <row r="133" spans="1:9" ht="15.75" thickBot="1" x14ac:dyDescent="0.3">
      <c r="A133" s="2" t="s">
        <v>16</v>
      </c>
      <c r="B133" s="8" t="s">
        <v>8</v>
      </c>
      <c r="C133" s="8" t="s">
        <v>8</v>
      </c>
      <c r="D133" s="12"/>
      <c r="E133" s="6">
        <v>0</v>
      </c>
      <c r="F133" s="6"/>
      <c r="G133" s="90">
        <v>0</v>
      </c>
      <c r="H133" s="91"/>
    </row>
    <row r="134" spans="1:9" ht="15.75" thickBot="1" x14ac:dyDescent="0.3">
      <c r="A134" s="3" t="s">
        <v>17</v>
      </c>
      <c r="B134" s="6">
        <f>G134*56%</f>
        <v>0</v>
      </c>
      <c r="C134" s="8"/>
      <c r="D134" s="6"/>
      <c r="E134" s="6">
        <f>G134-B134</f>
        <v>0</v>
      </c>
      <c r="F134" s="6"/>
      <c r="G134" s="90">
        <v>0</v>
      </c>
      <c r="H134" s="91"/>
    </row>
    <row r="135" spans="1:9" ht="15.75" thickBot="1" x14ac:dyDescent="0.3">
      <c r="A135" s="3" t="s">
        <v>18</v>
      </c>
      <c r="B135" s="6"/>
      <c r="C135" s="8"/>
      <c r="D135" s="8"/>
      <c r="E135" s="6"/>
      <c r="F135" s="6"/>
      <c r="G135" s="90"/>
      <c r="H135" s="91"/>
    </row>
    <row r="136" spans="1:9" ht="45.75" thickBot="1" x14ac:dyDescent="0.3">
      <c r="A136" s="2" t="s">
        <v>19</v>
      </c>
      <c r="B136" s="6"/>
      <c r="C136" s="8"/>
      <c r="D136" s="6"/>
      <c r="E136" s="6"/>
      <c r="F136" s="6"/>
      <c r="G136" s="94"/>
      <c r="H136" s="95"/>
    </row>
    <row r="137" spans="1:9" ht="30.75" thickBot="1" x14ac:dyDescent="0.3">
      <c r="A137" s="2" t="s">
        <v>20</v>
      </c>
      <c r="B137" s="6">
        <f>G137*56%</f>
        <v>268.8</v>
      </c>
      <c r="C137" s="8"/>
      <c r="D137" s="6"/>
      <c r="E137" s="6">
        <f>G137-B137</f>
        <v>211.2</v>
      </c>
      <c r="F137" s="6"/>
      <c r="G137" s="90">
        <v>480</v>
      </c>
      <c r="H137" s="91"/>
    </row>
    <row r="138" spans="1:9" ht="30.75" thickBot="1" x14ac:dyDescent="0.3">
      <c r="A138" s="2" t="s">
        <v>21</v>
      </c>
      <c r="B138" s="6">
        <f>G138*56%</f>
        <v>2282</v>
      </c>
      <c r="C138" s="6"/>
      <c r="D138" s="21">
        <f>G138-B138</f>
        <v>1793</v>
      </c>
      <c r="E138" s="8" t="s">
        <v>8</v>
      </c>
      <c r="F138" s="8" t="s">
        <v>8</v>
      </c>
      <c r="G138" s="90">
        <v>4075</v>
      </c>
      <c r="H138" s="91"/>
    </row>
    <row r="139" spans="1:9" ht="15.75" thickBot="1" x14ac:dyDescent="0.3">
      <c r="A139" s="3" t="s">
        <v>22</v>
      </c>
      <c r="B139" s="6">
        <f>G139*56%</f>
        <v>159.60000000000002</v>
      </c>
      <c r="C139" s="6"/>
      <c r="D139" s="31">
        <f>G139-B139</f>
        <v>125.39999999999998</v>
      </c>
      <c r="E139" s="8" t="s">
        <v>8</v>
      </c>
      <c r="F139" s="8" t="s">
        <v>8</v>
      </c>
      <c r="G139" s="90">
        <v>285</v>
      </c>
      <c r="H139" s="91"/>
    </row>
    <row r="140" spans="1:9" ht="15.75" thickBot="1" x14ac:dyDescent="0.3">
      <c r="A140" s="3" t="s">
        <v>23</v>
      </c>
      <c r="B140" s="8" t="s">
        <v>8</v>
      </c>
      <c r="C140" s="12"/>
      <c r="D140" s="8" t="s">
        <v>8</v>
      </c>
      <c r="E140" s="8" t="s">
        <v>8</v>
      </c>
      <c r="F140" s="8" t="s">
        <v>8</v>
      </c>
      <c r="G140" s="94"/>
      <c r="H140" s="95"/>
    </row>
    <row r="141" spans="1:9" ht="15.75" thickBot="1" x14ac:dyDescent="0.3">
      <c r="A141" s="3" t="s">
        <v>24</v>
      </c>
      <c r="B141" s="6">
        <f>G141*56%</f>
        <v>0</v>
      </c>
      <c r="C141" s="6"/>
      <c r="D141" s="6"/>
      <c r="E141" s="8" t="s">
        <v>8</v>
      </c>
      <c r="F141" s="8" t="s">
        <v>8</v>
      </c>
      <c r="G141" s="90"/>
      <c r="H141" s="91"/>
    </row>
    <row r="142" spans="1:9" ht="15.75" thickBot="1" x14ac:dyDescent="0.3">
      <c r="A142" s="4" t="s">
        <v>25</v>
      </c>
      <c r="B142" s="6">
        <f>SUM(B126:B141)</f>
        <v>49633.8</v>
      </c>
      <c r="C142" s="6"/>
      <c r="D142" s="6">
        <f>SUM(D126:D141)</f>
        <v>16889.999999999996</v>
      </c>
      <c r="E142" s="6">
        <f>SUM(E126:E141)</f>
        <v>211.2</v>
      </c>
      <c r="F142" s="6"/>
      <c r="G142" s="90">
        <f>SUM(G126:H141)</f>
        <v>66735</v>
      </c>
      <c r="H142" s="91"/>
    </row>
    <row r="143" spans="1:9" x14ac:dyDescent="0.25">
      <c r="A143" s="92" t="s">
        <v>26</v>
      </c>
      <c r="B143" s="92"/>
      <c r="C143" s="92"/>
      <c r="D143" s="92"/>
      <c r="E143" s="92"/>
      <c r="F143" s="92"/>
      <c r="G143" s="92"/>
      <c r="H143" s="92"/>
    </row>
    <row r="144" spans="1:9" x14ac:dyDescent="0.25">
      <c r="A144" s="93" t="s">
        <v>27</v>
      </c>
      <c r="B144" s="93"/>
      <c r="C144" s="93"/>
      <c r="D144" s="93"/>
      <c r="E144" s="93"/>
      <c r="F144" s="93"/>
      <c r="G144" s="93"/>
      <c r="H144" s="93"/>
    </row>
    <row r="145" spans="1:8" x14ac:dyDescent="0.25">
      <c r="A145" s="93" t="s">
        <v>28</v>
      </c>
      <c r="B145" s="93"/>
      <c r="C145" s="93"/>
      <c r="D145" s="93"/>
      <c r="E145" s="93"/>
      <c r="F145" s="93"/>
      <c r="G145" s="93"/>
      <c r="H145" s="93"/>
    </row>
    <row r="146" spans="1:8" x14ac:dyDescent="0.25">
      <c r="A146" s="1"/>
      <c r="B146" s="9"/>
      <c r="C146" s="9"/>
      <c r="D146" s="9"/>
      <c r="E146" s="9"/>
      <c r="F146" s="9"/>
      <c r="G146" s="9"/>
      <c r="H146" s="9"/>
    </row>
    <row r="147" spans="1:8" ht="15.75" x14ac:dyDescent="0.25">
      <c r="A147" s="5"/>
    </row>
    <row r="148" spans="1:8" x14ac:dyDescent="0.25">
      <c r="B148" s="13" t="s">
        <v>59</v>
      </c>
      <c r="C148" s="13">
        <v>45504</v>
      </c>
    </row>
    <row r="149" spans="1:8" x14ac:dyDescent="0.25">
      <c r="B149" s="10">
        <f>C148-B142</f>
        <v>-4129.8000000000029</v>
      </c>
      <c r="C149"/>
      <c r="D149"/>
      <c r="E149"/>
      <c r="F149"/>
      <c r="G149"/>
      <c r="H149"/>
    </row>
    <row r="156" spans="1:8" x14ac:dyDescent="0.25">
      <c r="A156" s="17"/>
      <c r="B156" s="18"/>
      <c r="C156" s="18"/>
      <c r="D156" s="18"/>
      <c r="E156" s="112" t="s">
        <v>29</v>
      </c>
      <c r="F156" s="112"/>
      <c r="G156" s="112"/>
      <c r="H156" s="112"/>
    </row>
    <row r="157" spans="1:8" x14ac:dyDescent="0.25">
      <c r="A157" s="113"/>
      <c r="B157" s="114"/>
      <c r="C157" s="114"/>
      <c r="D157" s="115"/>
      <c r="E157" s="115" t="s">
        <v>0</v>
      </c>
      <c r="F157" s="115"/>
      <c r="G157" s="115"/>
      <c r="H157" s="115"/>
    </row>
    <row r="158" spans="1:8" x14ac:dyDescent="0.25">
      <c r="A158" s="113"/>
      <c r="B158" s="114"/>
      <c r="C158" s="114"/>
      <c r="D158" s="115"/>
      <c r="E158" s="115" t="s">
        <v>1</v>
      </c>
      <c r="F158" s="115"/>
      <c r="G158" s="115"/>
      <c r="H158" s="115"/>
    </row>
    <row r="159" spans="1:8" ht="15.75" thickBot="1" x14ac:dyDescent="0.3">
      <c r="A159" s="98" t="s">
        <v>60</v>
      </c>
      <c r="B159" s="98"/>
      <c r="C159" s="98"/>
      <c r="D159" s="98"/>
      <c r="E159" s="98"/>
      <c r="F159" s="98"/>
      <c r="G159" s="99"/>
      <c r="H159" s="99"/>
    </row>
    <row r="160" spans="1:8" ht="15.75" thickBot="1" x14ac:dyDescent="0.3">
      <c r="A160" s="100" t="s">
        <v>2</v>
      </c>
      <c r="B160" s="103" t="s">
        <v>30</v>
      </c>
      <c r="C160" s="104"/>
      <c r="D160" s="104"/>
      <c r="E160" s="104"/>
      <c r="F160" s="104"/>
      <c r="G160" s="105" t="s">
        <v>3</v>
      </c>
      <c r="H160" s="106"/>
    </row>
    <row r="161" spans="1:8" ht="105.75" thickBot="1" x14ac:dyDescent="0.3">
      <c r="A161" s="101"/>
      <c r="B161" s="96" t="s">
        <v>30</v>
      </c>
      <c r="C161" s="107"/>
      <c r="D161" s="20" t="s">
        <v>32</v>
      </c>
      <c r="E161" s="107" t="s">
        <v>4</v>
      </c>
      <c r="F161" s="97"/>
      <c r="G161" s="108"/>
      <c r="H161" s="109"/>
    </row>
    <row r="162" spans="1:8" ht="165.75" thickBot="1" x14ac:dyDescent="0.3">
      <c r="A162" s="102"/>
      <c r="B162" s="7" t="s">
        <v>36</v>
      </c>
      <c r="C162" s="7" t="s">
        <v>5</v>
      </c>
      <c r="D162" s="7" t="s">
        <v>33</v>
      </c>
      <c r="E162" s="7" t="s">
        <v>34</v>
      </c>
      <c r="F162" s="7" t="s">
        <v>35</v>
      </c>
      <c r="G162" s="110"/>
      <c r="H162" s="111"/>
    </row>
    <row r="163" spans="1:8" ht="15.75" thickBot="1" x14ac:dyDescent="0.3">
      <c r="A163" s="19">
        <v>1</v>
      </c>
      <c r="B163" s="7">
        <v>2</v>
      </c>
      <c r="C163" s="11">
        <v>3</v>
      </c>
      <c r="D163" s="7">
        <v>4</v>
      </c>
      <c r="E163" s="11">
        <v>5</v>
      </c>
      <c r="F163" s="7">
        <v>6</v>
      </c>
      <c r="G163" s="96" t="s">
        <v>37</v>
      </c>
      <c r="H163" s="97"/>
    </row>
    <row r="164" spans="1:8" ht="60.75" thickBot="1" x14ac:dyDescent="0.3">
      <c r="A164" s="2" t="s">
        <v>7</v>
      </c>
      <c r="B164" s="6">
        <f>B165</f>
        <v>41681.440000000002</v>
      </c>
      <c r="C164" s="12"/>
      <c r="D164" s="6">
        <f>D165</f>
        <v>13162.559999999998</v>
      </c>
      <c r="E164" s="8" t="s">
        <v>8</v>
      </c>
      <c r="F164" s="8" t="s">
        <v>8</v>
      </c>
      <c r="G164" s="90">
        <f>57534-252</f>
        <v>57282</v>
      </c>
      <c r="H164" s="91"/>
    </row>
    <row r="165" spans="1:8" ht="15.75" thickBot="1" x14ac:dyDescent="0.3">
      <c r="A165" s="3" t="s">
        <v>9</v>
      </c>
      <c r="B165" s="6">
        <f>G165*76%</f>
        <v>41681.440000000002</v>
      </c>
      <c r="C165" s="12"/>
      <c r="D165" s="21">
        <f t="shared" ref="D165:D170" si="4">G165-B165</f>
        <v>13162.559999999998</v>
      </c>
      <c r="E165" s="8" t="s">
        <v>8</v>
      </c>
      <c r="F165" s="8" t="s">
        <v>8</v>
      </c>
      <c r="G165" s="90">
        <f>G164-G166</f>
        <v>54844</v>
      </c>
      <c r="H165" s="91"/>
    </row>
    <row r="166" spans="1:8" ht="15.75" thickBot="1" x14ac:dyDescent="0.3">
      <c r="A166" s="2" t="s">
        <v>10</v>
      </c>
      <c r="B166" s="6">
        <f>G166*76%</f>
        <v>1852.88</v>
      </c>
      <c r="C166" s="12"/>
      <c r="D166" s="31">
        <f t="shared" si="4"/>
        <v>585.11999999999989</v>
      </c>
      <c r="E166" s="8" t="s">
        <v>8</v>
      </c>
      <c r="F166" s="8" t="s">
        <v>8</v>
      </c>
      <c r="G166" s="116">
        <f>2249+108+23+58</f>
        <v>2438</v>
      </c>
      <c r="H166" s="91"/>
    </row>
    <row r="167" spans="1:8" ht="60.75" thickBot="1" x14ac:dyDescent="0.3">
      <c r="A167" s="2" t="s">
        <v>11</v>
      </c>
      <c r="B167" s="6">
        <f>G167*76%</f>
        <v>14526.64</v>
      </c>
      <c r="C167" s="12"/>
      <c r="D167" s="21">
        <f t="shared" si="4"/>
        <v>4587.3600000000006</v>
      </c>
      <c r="E167" s="8" t="s">
        <v>8</v>
      </c>
      <c r="F167" s="8" t="s">
        <v>8</v>
      </c>
      <c r="G167" s="90">
        <f>19219-105</f>
        <v>19114</v>
      </c>
      <c r="H167" s="91"/>
    </row>
    <row r="168" spans="1:8" ht="30.75" thickBot="1" x14ac:dyDescent="0.3">
      <c r="A168" s="2" t="s">
        <v>12</v>
      </c>
      <c r="B168" s="6">
        <f>G168*76%</f>
        <v>271.32</v>
      </c>
      <c r="C168" s="12"/>
      <c r="D168" s="21">
        <f t="shared" si="4"/>
        <v>85.68</v>
      </c>
      <c r="E168" s="8" t="s">
        <v>8</v>
      </c>
      <c r="F168" s="8" t="s">
        <v>8</v>
      </c>
      <c r="G168" s="90">
        <f>252+105</f>
        <v>357</v>
      </c>
      <c r="H168" s="91"/>
    </row>
    <row r="169" spans="1:8" ht="15.75" thickBot="1" x14ac:dyDescent="0.3">
      <c r="A169" s="2" t="s">
        <v>13</v>
      </c>
      <c r="B169" s="6">
        <f>G169*56%</f>
        <v>0</v>
      </c>
      <c r="C169" s="6"/>
      <c r="D169" s="21">
        <f t="shared" si="4"/>
        <v>0</v>
      </c>
      <c r="E169" s="8" t="s">
        <v>8</v>
      </c>
      <c r="F169" s="8" t="s">
        <v>8</v>
      </c>
      <c r="G169" s="90">
        <v>0</v>
      </c>
      <c r="H169" s="91"/>
    </row>
    <row r="170" spans="1:8" ht="30.75" thickBot="1" x14ac:dyDescent="0.3">
      <c r="A170" s="2" t="s">
        <v>14</v>
      </c>
      <c r="B170" s="6">
        <f>G170*56%</f>
        <v>408.24000000000007</v>
      </c>
      <c r="C170" s="6"/>
      <c r="D170" s="21">
        <f t="shared" si="4"/>
        <v>320.75999999999993</v>
      </c>
      <c r="E170" s="8" t="s">
        <v>8</v>
      </c>
      <c r="F170" s="8" t="s">
        <v>8</v>
      </c>
      <c r="G170" s="90">
        <v>729</v>
      </c>
      <c r="H170" s="91"/>
    </row>
    <row r="171" spans="1:8" ht="45.75" thickBot="1" x14ac:dyDescent="0.3">
      <c r="A171" s="2" t="s">
        <v>15</v>
      </c>
      <c r="B171" s="8" t="s">
        <v>8</v>
      </c>
      <c r="C171" s="8" t="s">
        <v>8</v>
      </c>
      <c r="D171" s="6"/>
      <c r="E171" s="8" t="s">
        <v>8</v>
      </c>
      <c r="F171" s="8" t="s">
        <v>8</v>
      </c>
      <c r="G171" s="90"/>
      <c r="H171" s="91"/>
    </row>
    <row r="172" spans="1:8" ht="15.75" thickBot="1" x14ac:dyDescent="0.3">
      <c r="A172" s="2" t="s">
        <v>16</v>
      </c>
      <c r="B172" s="8" t="s">
        <v>8</v>
      </c>
      <c r="C172" s="8" t="s">
        <v>8</v>
      </c>
      <c r="D172" s="12"/>
      <c r="E172" s="6">
        <v>0</v>
      </c>
      <c r="F172" s="6"/>
      <c r="G172" s="90">
        <v>0</v>
      </c>
      <c r="H172" s="91"/>
    </row>
    <row r="173" spans="1:8" ht="15.75" thickBot="1" x14ac:dyDescent="0.3">
      <c r="A173" s="3" t="s">
        <v>17</v>
      </c>
      <c r="B173" s="6">
        <f>G173*56%</f>
        <v>0</v>
      </c>
      <c r="C173" s="8"/>
      <c r="D173" s="6"/>
      <c r="E173" s="6">
        <f>G173-B173</f>
        <v>0</v>
      </c>
      <c r="F173" s="6"/>
      <c r="G173" s="90">
        <v>0</v>
      </c>
      <c r="H173" s="91"/>
    </row>
    <row r="174" spans="1:8" ht="15.75" thickBot="1" x14ac:dyDescent="0.3">
      <c r="A174" s="3" t="s">
        <v>18</v>
      </c>
      <c r="B174" s="6"/>
      <c r="C174" s="8"/>
      <c r="D174" s="8"/>
      <c r="E174" s="6"/>
      <c r="F174" s="6"/>
      <c r="G174" s="90"/>
      <c r="H174" s="91"/>
    </row>
    <row r="175" spans="1:8" ht="45.75" thickBot="1" x14ac:dyDescent="0.3">
      <c r="A175" s="2" t="s">
        <v>19</v>
      </c>
      <c r="B175" s="6"/>
      <c r="C175" s="8"/>
      <c r="D175" s="6"/>
      <c r="E175" s="6"/>
      <c r="F175" s="6"/>
      <c r="G175" s="94"/>
      <c r="H175" s="95"/>
    </row>
    <row r="176" spans="1:8" ht="30.75" thickBot="1" x14ac:dyDescent="0.3">
      <c r="A176" s="2" t="s">
        <v>20</v>
      </c>
      <c r="B176" s="6">
        <f>G176*56%</f>
        <v>336.00000000000006</v>
      </c>
      <c r="C176" s="8"/>
      <c r="D176" s="6"/>
      <c r="E176" s="6">
        <f>G176-B176</f>
        <v>263.99999999999994</v>
      </c>
      <c r="F176" s="6"/>
      <c r="G176" s="90">
        <v>600</v>
      </c>
      <c r="H176" s="91"/>
    </row>
    <row r="177" spans="1:8" ht="30.75" thickBot="1" x14ac:dyDescent="0.3">
      <c r="A177" s="2" t="s">
        <v>21</v>
      </c>
      <c r="B177" s="6">
        <f>G177*56%</f>
        <v>2467.36</v>
      </c>
      <c r="C177" s="6"/>
      <c r="D177" s="21">
        <f>G177-B177</f>
        <v>1938.6399999999999</v>
      </c>
      <c r="E177" s="8" t="s">
        <v>8</v>
      </c>
      <c r="F177" s="8" t="s">
        <v>8</v>
      </c>
      <c r="G177" s="90">
        <v>4406</v>
      </c>
      <c r="H177" s="91"/>
    </row>
    <row r="178" spans="1:8" ht="15.75" thickBot="1" x14ac:dyDescent="0.3">
      <c r="A178" s="3" t="s">
        <v>22</v>
      </c>
      <c r="B178" s="6">
        <f>G178*56%</f>
        <v>186.48000000000002</v>
      </c>
      <c r="C178" s="6"/>
      <c r="D178" s="21">
        <f>G178-B178</f>
        <v>146.51999999999998</v>
      </c>
      <c r="E178" s="8" t="s">
        <v>8</v>
      </c>
      <c r="F178" s="8" t="s">
        <v>8</v>
      </c>
      <c r="G178" s="90">
        <v>333</v>
      </c>
      <c r="H178" s="91"/>
    </row>
    <row r="179" spans="1:8" ht="15.75" thickBot="1" x14ac:dyDescent="0.3">
      <c r="A179" s="3" t="s">
        <v>23</v>
      </c>
      <c r="B179" s="8" t="s">
        <v>8</v>
      </c>
      <c r="C179" s="12"/>
      <c r="D179" s="8" t="s">
        <v>8</v>
      </c>
      <c r="E179" s="8" t="s">
        <v>8</v>
      </c>
      <c r="F179" s="8" t="s">
        <v>8</v>
      </c>
      <c r="G179" s="94"/>
      <c r="H179" s="95"/>
    </row>
    <row r="180" spans="1:8" ht="15.75" thickBot="1" x14ac:dyDescent="0.3">
      <c r="A180" s="3" t="s">
        <v>24</v>
      </c>
      <c r="B180" s="6">
        <f>G180*56%</f>
        <v>0</v>
      </c>
      <c r="C180" s="6"/>
      <c r="D180" s="6"/>
      <c r="E180" s="8" t="s">
        <v>8</v>
      </c>
      <c r="F180" s="8" t="s">
        <v>8</v>
      </c>
      <c r="G180" s="90"/>
      <c r="H180" s="91"/>
    </row>
    <row r="181" spans="1:8" ht="15.75" thickBot="1" x14ac:dyDescent="0.3">
      <c r="A181" s="4" t="s">
        <v>25</v>
      </c>
      <c r="B181" s="6">
        <f>SUM(B165:B180)</f>
        <v>61730.36</v>
      </c>
      <c r="C181" s="6"/>
      <c r="D181" s="6">
        <f>SUM(D165:D180)</f>
        <v>20826.639999999996</v>
      </c>
      <c r="E181" s="6">
        <f>SUM(E165:E180)</f>
        <v>263.99999999999994</v>
      </c>
      <c r="F181" s="6"/>
      <c r="G181" s="90">
        <f>SUM(G165:H180)</f>
        <v>82821</v>
      </c>
      <c r="H181" s="91"/>
    </row>
    <row r="182" spans="1:8" x14ac:dyDescent="0.25">
      <c r="A182" s="92" t="s">
        <v>26</v>
      </c>
      <c r="B182" s="92"/>
      <c r="C182" s="92"/>
      <c r="D182" s="92"/>
      <c r="E182" s="92"/>
      <c r="F182" s="92"/>
      <c r="G182" s="92"/>
      <c r="H182" s="92"/>
    </row>
    <row r="183" spans="1:8" x14ac:dyDescent="0.25">
      <c r="A183" s="93" t="s">
        <v>27</v>
      </c>
      <c r="B183" s="93"/>
      <c r="C183" s="93"/>
      <c r="D183" s="93"/>
      <c r="E183" s="93"/>
      <c r="F183" s="93"/>
      <c r="G183" s="93"/>
      <c r="H183" s="93"/>
    </row>
    <row r="184" spans="1:8" x14ac:dyDescent="0.25">
      <c r="A184" s="93" t="s">
        <v>28</v>
      </c>
      <c r="B184" s="93"/>
      <c r="C184" s="93"/>
      <c r="D184" s="93"/>
      <c r="E184" s="93"/>
      <c r="F184" s="93"/>
      <c r="G184" s="93"/>
      <c r="H184" s="93"/>
    </row>
    <row r="185" spans="1:8" x14ac:dyDescent="0.25">
      <c r="A185" s="1"/>
      <c r="B185" s="9"/>
      <c r="C185" s="9"/>
      <c r="D185" s="9"/>
      <c r="E185" s="9"/>
      <c r="F185" s="9"/>
      <c r="G185" s="9"/>
      <c r="H185" s="9"/>
    </row>
    <row r="186" spans="1:8" ht="15.75" x14ac:dyDescent="0.25">
      <c r="A186" s="5"/>
    </row>
    <row r="187" spans="1:8" x14ac:dyDescent="0.25">
      <c r="B187" s="13" t="s">
        <v>44</v>
      </c>
      <c r="C187" s="13">
        <v>55396</v>
      </c>
    </row>
    <row r="188" spans="1:8" x14ac:dyDescent="0.25">
      <c r="C188" s="10">
        <f>C187-B181</f>
        <v>-6334.3600000000006</v>
      </c>
      <c r="D188"/>
      <c r="E188"/>
      <c r="F188"/>
      <c r="G188"/>
      <c r="H188"/>
    </row>
    <row r="196" spans="1:9" x14ac:dyDescent="0.25">
      <c r="A196" s="17"/>
      <c r="B196" s="18"/>
      <c r="C196" s="18"/>
      <c r="D196" s="18"/>
      <c r="E196" s="112" t="s">
        <v>29</v>
      </c>
      <c r="F196" s="112"/>
      <c r="G196" s="112"/>
      <c r="H196" s="112"/>
    </row>
    <row r="197" spans="1:9" x14ac:dyDescent="0.25">
      <c r="A197" s="113"/>
      <c r="B197" s="114"/>
      <c r="C197" s="114"/>
      <c r="D197" s="115"/>
      <c r="E197" s="115" t="s">
        <v>0</v>
      </c>
      <c r="F197" s="115"/>
      <c r="G197" s="115"/>
      <c r="H197" s="115"/>
    </row>
    <row r="198" spans="1:9" x14ac:dyDescent="0.25">
      <c r="A198" s="113"/>
      <c r="B198" s="114"/>
      <c r="C198" s="114"/>
      <c r="D198" s="115"/>
      <c r="E198" s="115" t="s">
        <v>1</v>
      </c>
      <c r="F198" s="115"/>
      <c r="G198" s="115"/>
      <c r="H198" s="115"/>
    </row>
    <row r="199" spans="1:9" ht="15.75" thickBot="1" x14ac:dyDescent="0.3">
      <c r="A199" s="98" t="s">
        <v>45</v>
      </c>
      <c r="B199" s="98"/>
      <c r="C199" s="98"/>
      <c r="D199" s="98"/>
      <c r="E199" s="98"/>
      <c r="F199" s="98"/>
      <c r="G199" s="99"/>
      <c r="H199" s="99"/>
    </row>
    <row r="200" spans="1:9" ht="15.75" thickBot="1" x14ac:dyDescent="0.3">
      <c r="A200" s="100" t="s">
        <v>2</v>
      </c>
      <c r="B200" s="103" t="s">
        <v>30</v>
      </c>
      <c r="C200" s="104"/>
      <c r="D200" s="104"/>
      <c r="E200" s="104"/>
      <c r="F200" s="104"/>
      <c r="G200" s="105" t="s">
        <v>3</v>
      </c>
      <c r="H200" s="106"/>
    </row>
    <row r="201" spans="1:9" ht="105.75" thickBot="1" x14ac:dyDescent="0.3">
      <c r="A201" s="101"/>
      <c r="B201" s="96" t="s">
        <v>30</v>
      </c>
      <c r="C201" s="107"/>
      <c r="D201" s="20" t="s">
        <v>32</v>
      </c>
      <c r="E201" s="107" t="s">
        <v>4</v>
      </c>
      <c r="F201" s="97"/>
      <c r="G201" s="108"/>
      <c r="H201" s="109"/>
    </row>
    <row r="202" spans="1:9" ht="165.75" thickBot="1" x14ac:dyDescent="0.3">
      <c r="A202" s="102"/>
      <c r="B202" s="7" t="s">
        <v>36</v>
      </c>
      <c r="C202" s="7" t="s">
        <v>5</v>
      </c>
      <c r="D202" s="7" t="s">
        <v>33</v>
      </c>
      <c r="E202" s="7" t="s">
        <v>34</v>
      </c>
      <c r="F202" s="7" t="s">
        <v>35</v>
      </c>
      <c r="G202" s="110"/>
      <c r="H202" s="111"/>
    </row>
    <row r="203" spans="1:9" ht="15.75" thickBot="1" x14ac:dyDescent="0.3">
      <c r="A203" s="19">
        <v>1</v>
      </c>
      <c r="B203" s="7">
        <v>2</v>
      </c>
      <c r="C203" s="11">
        <v>3</v>
      </c>
      <c r="D203" s="7">
        <v>4</v>
      </c>
      <c r="E203" s="11">
        <v>5</v>
      </c>
      <c r="F203" s="7">
        <v>6</v>
      </c>
      <c r="G203" s="96" t="s">
        <v>37</v>
      </c>
      <c r="H203" s="97"/>
    </row>
    <row r="204" spans="1:9" ht="60.75" thickBot="1" x14ac:dyDescent="0.3">
      <c r="A204" s="2" t="s">
        <v>7</v>
      </c>
      <c r="B204" s="6">
        <f>B205</f>
        <v>50512.639999999999</v>
      </c>
      <c r="C204" s="12"/>
      <c r="D204" s="6">
        <f>D205</f>
        <v>15951.36</v>
      </c>
      <c r="E204" s="8" t="s">
        <v>8</v>
      </c>
      <c r="F204" s="8" t="s">
        <v>8</v>
      </c>
      <c r="G204" s="90">
        <f>69201-310+11</f>
        <v>68902</v>
      </c>
      <c r="H204" s="91"/>
    </row>
    <row r="205" spans="1:9" ht="15.75" thickBot="1" x14ac:dyDescent="0.3">
      <c r="A205" s="3" t="s">
        <v>9</v>
      </c>
      <c r="B205" s="6">
        <f>G205*76%</f>
        <v>50512.639999999999</v>
      </c>
      <c r="C205" s="12"/>
      <c r="D205" s="21">
        <f t="shared" ref="D205:D210" si="5">G205-B205</f>
        <v>15951.36</v>
      </c>
      <c r="E205" s="8" t="s">
        <v>8</v>
      </c>
      <c r="F205" s="8" t="s">
        <v>8</v>
      </c>
      <c r="G205" s="90">
        <f>G204-G206</f>
        <v>66464</v>
      </c>
      <c r="H205" s="91"/>
    </row>
    <row r="206" spans="1:9" ht="15.75" thickBot="1" x14ac:dyDescent="0.3">
      <c r="A206" s="2" t="s">
        <v>10</v>
      </c>
      <c r="B206" s="6">
        <f>G206*76%</f>
        <v>1852.88</v>
      </c>
      <c r="C206" s="12"/>
      <c r="D206" s="31">
        <f t="shared" si="5"/>
        <v>585.11999999999989</v>
      </c>
      <c r="E206" s="8" t="s">
        <v>8</v>
      </c>
      <c r="F206" s="8" t="s">
        <v>8</v>
      </c>
      <c r="G206" s="90">
        <v>2438</v>
      </c>
      <c r="H206" s="91"/>
    </row>
    <row r="207" spans="1:9" ht="60.75" thickBot="1" x14ac:dyDescent="0.3">
      <c r="A207" s="2" t="s">
        <v>11</v>
      </c>
      <c r="B207" s="6">
        <f>G207*76%</f>
        <v>17450.36</v>
      </c>
      <c r="C207" s="12"/>
      <c r="D207" s="21">
        <f t="shared" si="5"/>
        <v>5510.6399999999994</v>
      </c>
      <c r="E207" s="8" t="s">
        <v>8</v>
      </c>
      <c r="F207" s="8" t="s">
        <v>8</v>
      </c>
      <c r="G207" s="90">
        <f>23094-133</f>
        <v>22961</v>
      </c>
      <c r="H207" s="91"/>
    </row>
    <row r="208" spans="1:9" ht="30.75" thickBot="1" x14ac:dyDescent="0.3">
      <c r="A208" s="2" t="s">
        <v>12</v>
      </c>
      <c r="B208" s="6">
        <f>G208*76%</f>
        <v>336.68</v>
      </c>
      <c r="C208" s="12"/>
      <c r="D208" s="21">
        <f t="shared" si="5"/>
        <v>106.32</v>
      </c>
      <c r="E208" s="8" t="s">
        <v>8</v>
      </c>
      <c r="F208" s="8" t="s">
        <v>8</v>
      </c>
      <c r="G208" s="90">
        <f>310+133</f>
        <v>443</v>
      </c>
      <c r="H208" s="91"/>
      <c r="I208" s="10">
        <f>G208+G207+G204</f>
        <v>92306</v>
      </c>
    </row>
    <row r="209" spans="1:9" ht="15.75" thickBot="1" x14ac:dyDescent="0.3">
      <c r="A209" s="2" t="s">
        <v>13</v>
      </c>
      <c r="B209" s="6">
        <f>G209*56%</f>
        <v>0</v>
      </c>
      <c r="C209" s="6"/>
      <c r="D209" s="21">
        <f t="shared" si="5"/>
        <v>0</v>
      </c>
      <c r="E209" s="8" t="s">
        <v>8</v>
      </c>
      <c r="F209" s="8" t="s">
        <v>8</v>
      </c>
      <c r="G209" s="90">
        <v>0</v>
      </c>
      <c r="H209" s="91"/>
      <c r="I209">
        <f>92305</f>
        <v>92305</v>
      </c>
    </row>
    <row r="210" spans="1:9" ht="30.75" thickBot="1" x14ac:dyDescent="0.3">
      <c r="A210" s="2" t="s">
        <v>14</v>
      </c>
      <c r="B210" s="6">
        <f>G210*56%</f>
        <v>428.40000000000003</v>
      </c>
      <c r="C210" s="6"/>
      <c r="D210" s="21">
        <f t="shared" si="5"/>
        <v>336.59999999999997</v>
      </c>
      <c r="E210" s="8" t="s">
        <v>8</v>
      </c>
      <c r="F210" s="8" t="s">
        <v>8</v>
      </c>
      <c r="G210" s="90">
        <v>765</v>
      </c>
      <c r="H210" s="91"/>
      <c r="I210" s="10">
        <f>I209-I208</f>
        <v>-1</v>
      </c>
    </row>
    <row r="211" spans="1:9" ht="45.75" thickBot="1" x14ac:dyDescent="0.3">
      <c r="A211" s="2" t="s">
        <v>15</v>
      </c>
      <c r="B211" s="8" t="s">
        <v>8</v>
      </c>
      <c r="C211" s="8" t="s">
        <v>8</v>
      </c>
      <c r="D211" s="6"/>
      <c r="E211" s="8" t="s">
        <v>8</v>
      </c>
      <c r="F211" s="8" t="s">
        <v>8</v>
      </c>
      <c r="G211" s="90"/>
      <c r="H211" s="91"/>
    </row>
    <row r="212" spans="1:9" ht="15.75" thickBot="1" x14ac:dyDescent="0.3">
      <c r="A212" s="2" t="s">
        <v>16</v>
      </c>
      <c r="B212" s="8" t="s">
        <v>8</v>
      </c>
      <c r="C212" s="8" t="s">
        <v>8</v>
      </c>
      <c r="D212" s="12"/>
      <c r="E212" s="6">
        <v>0</v>
      </c>
      <c r="F212" s="6"/>
      <c r="G212" s="90">
        <v>0</v>
      </c>
      <c r="H212" s="91"/>
    </row>
    <row r="213" spans="1:9" ht="15.75" thickBot="1" x14ac:dyDescent="0.3">
      <c r="A213" s="3" t="s">
        <v>17</v>
      </c>
      <c r="B213" s="6">
        <f>G213*56%</f>
        <v>0</v>
      </c>
      <c r="C213" s="8"/>
      <c r="D213" s="6"/>
      <c r="E213" s="6">
        <f>G213-B213</f>
        <v>0</v>
      </c>
      <c r="F213" s="6"/>
      <c r="G213" s="90">
        <v>0</v>
      </c>
      <c r="H213" s="91"/>
    </row>
    <row r="214" spans="1:9" ht="15.75" thickBot="1" x14ac:dyDescent="0.3">
      <c r="A214" s="3" t="s">
        <v>18</v>
      </c>
      <c r="B214" s="6"/>
      <c r="C214" s="8"/>
      <c r="D214" s="8"/>
      <c r="E214" s="6"/>
      <c r="F214" s="6"/>
      <c r="G214" s="90"/>
      <c r="H214" s="91"/>
    </row>
    <row r="215" spans="1:9" ht="45.75" thickBot="1" x14ac:dyDescent="0.3">
      <c r="A215" s="2" t="s">
        <v>19</v>
      </c>
      <c r="B215" s="6"/>
      <c r="C215" s="8"/>
      <c r="D215" s="6"/>
      <c r="E215" s="6"/>
      <c r="F215" s="6"/>
      <c r="G215" s="94"/>
      <c r="H215" s="95"/>
    </row>
    <row r="216" spans="1:9" ht="30.75" thickBot="1" x14ac:dyDescent="0.3">
      <c r="A216" s="2" t="s">
        <v>20</v>
      </c>
      <c r="B216" s="6">
        <f>G216*56%</f>
        <v>403.20000000000005</v>
      </c>
      <c r="C216" s="8"/>
      <c r="D216" s="6"/>
      <c r="E216" s="6">
        <f>G216-B216</f>
        <v>316.79999999999995</v>
      </c>
      <c r="F216" s="6"/>
      <c r="G216" s="90">
        <v>720</v>
      </c>
      <c r="H216" s="91"/>
    </row>
    <row r="217" spans="1:9" ht="30.75" thickBot="1" x14ac:dyDescent="0.3">
      <c r="A217" s="2" t="s">
        <v>21</v>
      </c>
      <c r="B217" s="6">
        <f>G217*56%</f>
        <v>3048.0800000000004</v>
      </c>
      <c r="C217" s="6"/>
      <c r="D217" s="21">
        <f>G217-B217</f>
        <v>2394.9199999999996</v>
      </c>
      <c r="E217" s="8" t="s">
        <v>8</v>
      </c>
      <c r="F217" s="8" t="s">
        <v>8</v>
      </c>
      <c r="G217" s="90">
        <f>4893+550</f>
        <v>5443</v>
      </c>
      <c r="H217" s="91"/>
    </row>
    <row r="218" spans="1:9" ht="15.75" thickBot="1" x14ac:dyDescent="0.3">
      <c r="A218" s="3" t="s">
        <v>22</v>
      </c>
      <c r="B218" s="6">
        <f>G218*56%</f>
        <v>204.96</v>
      </c>
      <c r="C218" s="6"/>
      <c r="D218" s="21">
        <f>G218-B218</f>
        <v>161.04</v>
      </c>
      <c r="E218" s="8" t="s">
        <v>8</v>
      </c>
      <c r="F218" s="8" t="s">
        <v>8</v>
      </c>
      <c r="G218" s="90">
        <f>366</f>
        <v>366</v>
      </c>
      <c r="H218" s="91"/>
    </row>
    <row r="219" spans="1:9" ht="15.75" thickBot="1" x14ac:dyDescent="0.3">
      <c r="A219" s="3" t="s">
        <v>23</v>
      </c>
      <c r="B219" s="8" t="s">
        <v>8</v>
      </c>
      <c r="C219" s="12"/>
      <c r="D219" s="8" t="s">
        <v>8</v>
      </c>
      <c r="E219" s="8" t="s">
        <v>8</v>
      </c>
      <c r="F219" s="8" t="s">
        <v>8</v>
      </c>
      <c r="G219" s="94"/>
      <c r="H219" s="95"/>
    </row>
    <row r="220" spans="1:9" ht="15.75" thickBot="1" x14ac:dyDescent="0.3">
      <c r="A220" s="3" t="s">
        <v>24</v>
      </c>
      <c r="B220" s="6">
        <f>G220*56%</f>
        <v>0</v>
      </c>
      <c r="C220" s="6"/>
      <c r="D220" s="6"/>
      <c r="E220" s="8" t="s">
        <v>8</v>
      </c>
      <c r="F220" s="8" t="s">
        <v>8</v>
      </c>
      <c r="G220" s="90"/>
      <c r="H220" s="91"/>
    </row>
    <row r="221" spans="1:9" ht="15.75" thickBot="1" x14ac:dyDescent="0.3">
      <c r="A221" s="4" t="s">
        <v>25</v>
      </c>
      <c r="B221" s="6">
        <f>SUM(B205:B220)</f>
        <v>74237.2</v>
      </c>
      <c r="C221" s="6"/>
      <c r="D221" s="6">
        <f>SUM(D205:D220)</f>
        <v>25045.999999999996</v>
      </c>
      <c r="E221" s="6">
        <f>SUM(E205:E220)</f>
        <v>316.79999999999995</v>
      </c>
      <c r="F221" s="6"/>
      <c r="G221" s="90">
        <f>SUM(G205:H220)</f>
        <v>99600</v>
      </c>
      <c r="H221" s="91"/>
    </row>
    <row r="222" spans="1:9" x14ac:dyDescent="0.25">
      <c r="A222" s="92" t="s">
        <v>26</v>
      </c>
      <c r="B222" s="92"/>
      <c r="C222" s="92"/>
      <c r="D222" s="92"/>
      <c r="E222" s="92"/>
      <c r="F222" s="92"/>
      <c r="G222" s="92"/>
      <c r="H222" s="92"/>
    </row>
    <row r="223" spans="1:9" x14ac:dyDescent="0.25">
      <c r="A223" s="93" t="s">
        <v>27</v>
      </c>
      <c r="B223" s="93"/>
      <c r="C223" s="93"/>
      <c r="D223" s="93"/>
      <c r="E223" s="93"/>
      <c r="F223" s="93"/>
      <c r="G223" s="93"/>
      <c r="H223" s="93"/>
    </row>
    <row r="224" spans="1:9" x14ac:dyDescent="0.25">
      <c r="A224" s="93" t="s">
        <v>28</v>
      </c>
      <c r="B224" s="93"/>
      <c r="C224" s="93"/>
      <c r="D224" s="93"/>
      <c r="E224" s="93"/>
      <c r="F224" s="93"/>
      <c r="G224" s="93"/>
      <c r="H224" s="93"/>
    </row>
    <row r="225" spans="1:8" x14ac:dyDescent="0.25">
      <c r="A225" s="1"/>
      <c r="B225" s="9"/>
      <c r="C225" s="9"/>
      <c r="D225" s="9"/>
      <c r="E225" s="9"/>
      <c r="F225" s="9"/>
      <c r="G225" s="9"/>
      <c r="H225" s="9"/>
    </row>
    <row r="226" spans="1:8" ht="15.75" x14ac:dyDescent="0.25">
      <c r="A226" s="5"/>
    </row>
    <row r="227" spans="1:8" x14ac:dyDescent="0.25">
      <c r="B227" s="13" t="s">
        <v>46</v>
      </c>
      <c r="C227" s="13">
        <v>65288</v>
      </c>
    </row>
    <row r="228" spans="1:8" x14ac:dyDescent="0.25">
      <c r="C228" s="10">
        <f>C227-B221</f>
        <v>-8949.1999999999971</v>
      </c>
    </row>
    <row r="230" spans="1:8" x14ac:dyDescent="0.25">
      <c r="A230" s="17"/>
      <c r="B230" s="18"/>
      <c r="C230" s="18"/>
      <c r="D230" s="18"/>
      <c r="E230" s="112" t="s">
        <v>29</v>
      </c>
      <c r="F230" s="112"/>
      <c r="G230" s="112"/>
      <c r="H230" s="112"/>
    </row>
    <row r="231" spans="1:8" x14ac:dyDescent="0.25">
      <c r="A231" s="113"/>
      <c r="B231" s="114"/>
      <c r="C231" s="114"/>
      <c r="D231" s="115"/>
      <c r="E231" s="115" t="s">
        <v>0</v>
      </c>
      <c r="F231" s="115"/>
      <c r="G231" s="115"/>
      <c r="H231" s="115"/>
    </row>
    <row r="232" spans="1:8" x14ac:dyDescent="0.25">
      <c r="A232" s="113"/>
      <c r="B232" s="114"/>
      <c r="C232" s="114"/>
      <c r="D232" s="115"/>
      <c r="E232" s="115" t="s">
        <v>1</v>
      </c>
      <c r="F232" s="115"/>
      <c r="G232" s="115"/>
      <c r="H232" s="115"/>
    </row>
    <row r="233" spans="1:8" ht="15.75" thickBot="1" x14ac:dyDescent="0.3">
      <c r="A233" s="98" t="s">
        <v>61</v>
      </c>
      <c r="B233" s="98"/>
      <c r="C233" s="98"/>
      <c r="D233" s="98"/>
      <c r="E233" s="98"/>
      <c r="F233" s="98"/>
      <c r="G233" s="99"/>
      <c r="H233" s="99"/>
    </row>
    <row r="234" spans="1:8" ht="15.75" thickBot="1" x14ac:dyDescent="0.3">
      <c r="A234" s="100" t="s">
        <v>2</v>
      </c>
      <c r="B234" s="103" t="s">
        <v>30</v>
      </c>
      <c r="C234" s="104"/>
      <c r="D234" s="104"/>
      <c r="E234" s="104"/>
      <c r="F234" s="104"/>
      <c r="G234" s="105" t="s">
        <v>3</v>
      </c>
      <c r="H234" s="106"/>
    </row>
    <row r="235" spans="1:8" ht="105.75" thickBot="1" x14ac:dyDescent="0.3">
      <c r="A235" s="101"/>
      <c r="B235" s="96" t="s">
        <v>30</v>
      </c>
      <c r="C235" s="107"/>
      <c r="D235" s="20" t="s">
        <v>32</v>
      </c>
      <c r="E235" s="107" t="s">
        <v>4</v>
      </c>
      <c r="F235" s="97"/>
      <c r="G235" s="108"/>
      <c r="H235" s="109"/>
    </row>
    <row r="236" spans="1:8" ht="165.75" thickBot="1" x14ac:dyDescent="0.3">
      <c r="A236" s="102"/>
      <c r="B236" s="7" t="s">
        <v>36</v>
      </c>
      <c r="C236" s="7" t="s">
        <v>5</v>
      </c>
      <c r="D236" s="7" t="s">
        <v>33</v>
      </c>
      <c r="E236" s="7" t="s">
        <v>34</v>
      </c>
      <c r="F236" s="7" t="s">
        <v>35</v>
      </c>
      <c r="G236" s="110"/>
      <c r="H236" s="111"/>
    </row>
    <row r="237" spans="1:8" ht="15.75" thickBot="1" x14ac:dyDescent="0.3">
      <c r="A237" s="19">
        <v>1</v>
      </c>
      <c r="B237" s="7">
        <v>2</v>
      </c>
      <c r="C237" s="11">
        <v>3</v>
      </c>
      <c r="D237" s="7">
        <v>4</v>
      </c>
      <c r="E237" s="11">
        <v>5</v>
      </c>
      <c r="F237" s="7">
        <v>6</v>
      </c>
      <c r="G237" s="96" t="s">
        <v>37</v>
      </c>
      <c r="H237" s="97"/>
    </row>
    <row r="238" spans="1:8" ht="60.75" thickBot="1" x14ac:dyDescent="0.3">
      <c r="A238" s="2" t="s">
        <v>7</v>
      </c>
      <c r="B238" s="6">
        <f>B239</f>
        <v>55179.8</v>
      </c>
      <c r="C238" s="12"/>
      <c r="D238" s="6">
        <f>D239</f>
        <v>17425.199999999997</v>
      </c>
      <c r="E238" s="8" t="s">
        <v>8</v>
      </c>
      <c r="F238" s="8" t="s">
        <v>8</v>
      </c>
      <c r="G238" s="90">
        <f>75377-344+10</f>
        <v>75043</v>
      </c>
      <c r="H238" s="91"/>
    </row>
    <row r="239" spans="1:8" ht="15.75" thickBot="1" x14ac:dyDescent="0.3">
      <c r="A239" s="3" t="s">
        <v>9</v>
      </c>
      <c r="B239" s="6">
        <f>G239*76%</f>
        <v>55179.8</v>
      </c>
      <c r="C239" s="12"/>
      <c r="D239" s="21">
        <f t="shared" ref="D239:D244" si="6">G239-B239</f>
        <v>17425.199999999997</v>
      </c>
      <c r="E239" s="8" t="s">
        <v>8</v>
      </c>
      <c r="F239" s="8" t="s">
        <v>8</v>
      </c>
      <c r="G239" s="90">
        <f>G238-G240</f>
        <v>72605</v>
      </c>
      <c r="H239" s="91"/>
    </row>
    <row r="240" spans="1:8" ht="15.75" thickBot="1" x14ac:dyDescent="0.3">
      <c r="A240" s="2" t="s">
        <v>10</v>
      </c>
      <c r="B240" s="6">
        <f>G240*76%</f>
        <v>1852.88</v>
      </c>
      <c r="C240" s="12"/>
      <c r="D240" s="31">
        <f t="shared" si="6"/>
        <v>585.11999999999989</v>
      </c>
      <c r="E240" s="8" t="s">
        <v>8</v>
      </c>
      <c r="F240" s="8" t="s">
        <v>8</v>
      </c>
      <c r="G240" s="90">
        <v>2438</v>
      </c>
      <c r="H240" s="91"/>
    </row>
    <row r="241" spans="1:8" ht="60.75" thickBot="1" x14ac:dyDescent="0.3">
      <c r="A241" s="2" t="s">
        <v>11</v>
      </c>
      <c r="B241" s="6">
        <f>G241*76%</f>
        <v>19269.8</v>
      </c>
      <c r="C241" s="12"/>
      <c r="D241" s="21">
        <f t="shared" si="6"/>
        <v>6085.2000000000007</v>
      </c>
      <c r="E241" s="8" t="s">
        <v>8</v>
      </c>
      <c r="F241" s="8" t="s">
        <v>8</v>
      </c>
      <c r="G241" s="90">
        <f>25501-146</f>
        <v>25355</v>
      </c>
      <c r="H241" s="91"/>
    </row>
    <row r="242" spans="1:8" ht="30.75" thickBot="1" x14ac:dyDescent="0.3">
      <c r="A242" s="2" t="s">
        <v>12</v>
      </c>
      <c r="B242" s="6">
        <f>G242*76%</f>
        <v>372.4</v>
      </c>
      <c r="C242" s="12"/>
      <c r="D242" s="21">
        <f t="shared" si="6"/>
        <v>117.60000000000002</v>
      </c>
      <c r="E242" s="8" t="s">
        <v>8</v>
      </c>
      <c r="F242" s="8" t="s">
        <v>8</v>
      </c>
      <c r="G242" s="90">
        <f>146+344</f>
        <v>490</v>
      </c>
      <c r="H242" s="91"/>
    </row>
    <row r="243" spans="1:8" ht="15.75" thickBot="1" x14ac:dyDescent="0.3">
      <c r="A243" s="2" t="s">
        <v>13</v>
      </c>
      <c r="B243" s="6">
        <f>G243*56%</f>
        <v>0</v>
      </c>
      <c r="C243" s="6"/>
      <c r="D243" s="21">
        <f t="shared" si="6"/>
        <v>0</v>
      </c>
      <c r="E243" s="8" t="s">
        <v>8</v>
      </c>
      <c r="F243" s="8" t="s">
        <v>8</v>
      </c>
      <c r="G243" s="90">
        <v>0</v>
      </c>
      <c r="H243" s="91"/>
    </row>
    <row r="244" spans="1:8" ht="30.75" thickBot="1" x14ac:dyDescent="0.3">
      <c r="A244" s="2" t="s">
        <v>14</v>
      </c>
      <c r="B244" s="6">
        <f>G244*56%</f>
        <v>428.40000000000003</v>
      </c>
      <c r="C244" s="6"/>
      <c r="D244" s="21">
        <f t="shared" si="6"/>
        <v>336.59999999999997</v>
      </c>
      <c r="E244" s="8" t="s">
        <v>8</v>
      </c>
      <c r="F244" s="8" t="s">
        <v>8</v>
      </c>
      <c r="G244" s="90">
        <v>765</v>
      </c>
      <c r="H244" s="91"/>
    </row>
    <row r="245" spans="1:8" ht="45.75" thickBot="1" x14ac:dyDescent="0.3">
      <c r="A245" s="2" t="s">
        <v>15</v>
      </c>
      <c r="B245" s="8" t="s">
        <v>8</v>
      </c>
      <c r="C245" s="8" t="s">
        <v>8</v>
      </c>
      <c r="D245" s="6"/>
      <c r="E245" s="8" t="s">
        <v>8</v>
      </c>
      <c r="F245" s="8" t="s">
        <v>8</v>
      </c>
      <c r="G245" s="90"/>
      <c r="H245" s="91"/>
    </row>
    <row r="246" spans="1:8" ht="15.75" thickBot="1" x14ac:dyDescent="0.3">
      <c r="A246" s="2" t="s">
        <v>16</v>
      </c>
      <c r="B246" s="8" t="s">
        <v>8</v>
      </c>
      <c r="C246" s="8" t="s">
        <v>8</v>
      </c>
      <c r="D246" s="12"/>
      <c r="E246" s="6">
        <v>0</v>
      </c>
      <c r="F246" s="6"/>
      <c r="G246" s="90">
        <v>0</v>
      </c>
      <c r="H246" s="91"/>
    </row>
    <row r="247" spans="1:8" ht="15.75" thickBot="1" x14ac:dyDescent="0.3">
      <c r="A247" s="3" t="s">
        <v>17</v>
      </c>
      <c r="B247" s="6">
        <f>G247*56%</f>
        <v>0</v>
      </c>
      <c r="C247" s="8"/>
      <c r="D247" s="6"/>
      <c r="E247" s="6">
        <f>G247-B247</f>
        <v>0</v>
      </c>
      <c r="F247" s="6"/>
      <c r="G247" s="90">
        <v>0</v>
      </c>
      <c r="H247" s="91"/>
    </row>
    <row r="248" spans="1:8" ht="15.75" thickBot="1" x14ac:dyDescent="0.3">
      <c r="A248" s="3" t="s">
        <v>18</v>
      </c>
      <c r="B248" s="6"/>
      <c r="C248" s="8"/>
      <c r="D248" s="8"/>
      <c r="E248" s="6"/>
      <c r="F248" s="6"/>
      <c r="G248" s="90"/>
      <c r="H248" s="91"/>
    </row>
    <row r="249" spans="1:8" ht="45.75" thickBot="1" x14ac:dyDescent="0.3">
      <c r="A249" s="2" t="s">
        <v>19</v>
      </c>
      <c r="B249" s="6"/>
      <c r="C249" s="8"/>
      <c r="D249" s="6"/>
      <c r="E249" s="6"/>
      <c r="F249" s="6"/>
      <c r="G249" s="94"/>
      <c r="H249" s="95"/>
    </row>
    <row r="250" spans="1:8" ht="30.75" thickBot="1" x14ac:dyDescent="0.3">
      <c r="A250" s="2" t="s">
        <v>20</v>
      </c>
      <c r="B250" s="6">
        <f>G250*56%</f>
        <v>409.36</v>
      </c>
      <c r="C250" s="8"/>
      <c r="D250" s="6"/>
      <c r="E250" s="6">
        <f>G250-B250</f>
        <v>321.64</v>
      </c>
      <c r="F250" s="6"/>
      <c r="G250" s="90">
        <v>731</v>
      </c>
      <c r="H250" s="91"/>
    </row>
    <row r="251" spans="1:8" ht="30.75" thickBot="1" x14ac:dyDescent="0.3">
      <c r="A251" s="2" t="s">
        <v>21</v>
      </c>
      <c r="B251" s="6">
        <f>G251*56%</f>
        <v>3230.0800000000004</v>
      </c>
      <c r="C251" s="6"/>
      <c r="D251" s="21">
        <f>G251-B251</f>
        <v>2537.9199999999996</v>
      </c>
      <c r="E251" s="8" t="s">
        <v>8</v>
      </c>
      <c r="F251" s="8" t="s">
        <v>8</v>
      </c>
      <c r="G251" s="90">
        <f>5218-G246+550</f>
        <v>5768</v>
      </c>
      <c r="H251" s="91"/>
    </row>
    <row r="252" spans="1:8" ht="15.75" thickBot="1" x14ac:dyDescent="0.3">
      <c r="A252" s="3" t="s">
        <v>22</v>
      </c>
      <c r="B252" s="6">
        <f>G252*56%</f>
        <v>218.96</v>
      </c>
      <c r="C252" s="6"/>
      <c r="D252" s="21">
        <f>G252-B252</f>
        <v>172.04</v>
      </c>
      <c r="E252" s="8" t="s">
        <v>8</v>
      </c>
      <c r="F252" s="8" t="s">
        <v>8</v>
      </c>
      <c r="G252" s="90">
        <v>391</v>
      </c>
      <c r="H252" s="91"/>
    </row>
    <row r="253" spans="1:8" ht="15.75" thickBot="1" x14ac:dyDescent="0.3">
      <c r="A253" s="3" t="s">
        <v>23</v>
      </c>
      <c r="B253" s="8" t="s">
        <v>8</v>
      </c>
      <c r="C253" s="12"/>
      <c r="D253" s="8" t="s">
        <v>8</v>
      </c>
      <c r="E253" s="8" t="s">
        <v>8</v>
      </c>
      <c r="F253" s="8" t="s">
        <v>8</v>
      </c>
      <c r="G253" s="94"/>
      <c r="H253" s="95"/>
    </row>
    <row r="254" spans="1:8" ht="15.75" thickBot="1" x14ac:dyDescent="0.3">
      <c r="A254" s="3" t="s">
        <v>24</v>
      </c>
      <c r="B254" s="6">
        <f>G254*56%</f>
        <v>0</v>
      </c>
      <c r="C254" s="6"/>
      <c r="D254" s="6"/>
      <c r="E254" s="8" t="s">
        <v>8</v>
      </c>
      <c r="F254" s="8" t="s">
        <v>8</v>
      </c>
      <c r="G254" s="90"/>
      <c r="H254" s="91"/>
    </row>
    <row r="255" spans="1:8" ht="15.75" thickBot="1" x14ac:dyDescent="0.3">
      <c r="A255" s="4" t="s">
        <v>25</v>
      </c>
      <c r="B255" s="6">
        <f>SUM(B239:B254)</f>
        <v>80961.679999999993</v>
      </c>
      <c r="C255" s="6"/>
      <c r="D255" s="6">
        <f>SUM(D239:D254)</f>
        <v>27259.679999999993</v>
      </c>
      <c r="E255" s="6">
        <f>SUM(E239:E254)</f>
        <v>321.64</v>
      </c>
      <c r="F255" s="6"/>
      <c r="G255" s="90">
        <f>SUM(G239:H254)</f>
        <v>108543</v>
      </c>
      <c r="H255" s="91"/>
    </row>
    <row r="256" spans="1:8" x14ac:dyDescent="0.25">
      <c r="A256" s="92" t="s">
        <v>26</v>
      </c>
      <c r="B256" s="92"/>
      <c r="C256" s="92"/>
      <c r="D256" s="92"/>
      <c r="E256" s="92"/>
      <c r="F256" s="92"/>
      <c r="G256" s="92"/>
      <c r="H256" s="92"/>
    </row>
    <row r="257" spans="1:8" x14ac:dyDescent="0.25">
      <c r="A257" s="93" t="s">
        <v>27</v>
      </c>
      <c r="B257" s="93"/>
      <c r="C257" s="93"/>
      <c r="D257" s="93"/>
      <c r="E257" s="93"/>
      <c r="F257" s="93"/>
      <c r="G257" s="93"/>
      <c r="H257" s="93"/>
    </row>
    <row r="258" spans="1:8" x14ac:dyDescent="0.25">
      <c r="A258" s="93" t="s">
        <v>28</v>
      </c>
      <c r="B258" s="93"/>
      <c r="C258" s="93"/>
      <c r="D258" s="93"/>
      <c r="E258" s="93"/>
      <c r="F258" s="93"/>
      <c r="G258" s="93"/>
      <c r="H258" s="93"/>
    </row>
    <row r="259" spans="1:8" x14ac:dyDescent="0.25">
      <c r="A259" s="1"/>
      <c r="B259" s="9"/>
      <c r="C259" s="9"/>
      <c r="D259" s="9"/>
      <c r="E259" s="9"/>
      <c r="F259" s="9"/>
      <c r="G259" s="9"/>
      <c r="H259" s="9"/>
    </row>
    <row r="260" spans="1:8" ht="15.75" x14ac:dyDescent="0.25">
      <c r="A260" s="5"/>
    </row>
    <row r="261" spans="1:8" x14ac:dyDescent="0.25">
      <c r="B261" s="13" t="s">
        <v>62</v>
      </c>
      <c r="C261" s="13">
        <v>83094</v>
      </c>
    </row>
    <row r="262" spans="1:8" x14ac:dyDescent="0.25">
      <c r="C262" s="10">
        <f>C261-B255</f>
        <v>2132.320000000007</v>
      </c>
    </row>
    <row r="265" spans="1:8" x14ac:dyDescent="0.25">
      <c r="A265" s="17"/>
      <c r="B265" s="18"/>
      <c r="C265" s="18"/>
      <c r="D265" s="18"/>
      <c r="E265" s="112" t="s">
        <v>29</v>
      </c>
      <c r="F265" s="112"/>
      <c r="G265" s="112"/>
      <c r="H265" s="112"/>
    </row>
    <row r="266" spans="1:8" x14ac:dyDescent="0.25">
      <c r="A266" s="113"/>
      <c r="B266" s="114"/>
      <c r="C266" s="114"/>
      <c r="D266" s="115"/>
      <c r="E266" s="115" t="s">
        <v>0</v>
      </c>
      <c r="F266" s="115"/>
      <c r="G266" s="115"/>
      <c r="H266" s="115"/>
    </row>
    <row r="267" spans="1:8" x14ac:dyDescent="0.25">
      <c r="A267" s="113"/>
      <c r="B267" s="114"/>
      <c r="C267" s="114"/>
      <c r="D267" s="115"/>
      <c r="E267" s="115" t="s">
        <v>1</v>
      </c>
      <c r="F267" s="115"/>
      <c r="G267" s="115"/>
      <c r="H267" s="115"/>
    </row>
    <row r="268" spans="1:8" ht="15.75" thickBot="1" x14ac:dyDescent="0.3">
      <c r="A268" s="98" t="s">
        <v>63</v>
      </c>
      <c r="B268" s="98"/>
      <c r="C268" s="98"/>
      <c r="D268" s="98"/>
      <c r="E268" s="98"/>
      <c r="F268" s="98"/>
      <c r="G268" s="99"/>
      <c r="H268" s="99"/>
    </row>
    <row r="269" spans="1:8" ht="15.75" thickBot="1" x14ac:dyDescent="0.3">
      <c r="A269" s="100" t="s">
        <v>2</v>
      </c>
      <c r="B269" s="103" t="s">
        <v>30</v>
      </c>
      <c r="C269" s="104"/>
      <c r="D269" s="104"/>
      <c r="E269" s="104"/>
      <c r="F269" s="104"/>
      <c r="G269" s="105" t="s">
        <v>3</v>
      </c>
      <c r="H269" s="106"/>
    </row>
    <row r="270" spans="1:8" ht="105.75" thickBot="1" x14ac:dyDescent="0.3">
      <c r="A270" s="101"/>
      <c r="B270" s="96" t="s">
        <v>30</v>
      </c>
      <c r="C270" s="107"/>
      <c r="D270" s="20" t="s">
        <v>32</v>
      </c>
      <c r="E270" s="107" t="s">
        <v>4</v>
      </c>
      <c r="F270" s="97"/>
      <c r="G270" s="108"/>
      <c r="H270" s="109"/>
    </row>
    <row r="271" spans="1:8" ht="165.75" thickBot="1" x14ac:dyDescent="0.3">
      <c r="A271" s="102"/>
      <c r="B271" s="7" t="s">
        <v>36</v>
      </c>
      <c r="C271" s="7" t="s">
        <v>5</v>
      </c>
      <c r="D271" s="7" t="s">
        <v>33</v>
      </c>
      <c r="E271" s="7" t="s">
        <v>34</v>
      </c>
      <c r="F271" s="7" t="s">
        <v>35</v>
      </c>
      <c r="G271" s="110"/>
      <c r="H271" s="111"/>
    </row>
    <row r="272" spans="1:8" ht="15.75" thickBot="1" x14ac:dyDescent="0.3">
      <c r="A272" s="19">
        <v>1</v>
      </c>
      <c r="B272" s="7">
        <v>2</v>
      </c>
      <c r="C272" s="11">
        <v>3</v>
      </c>
      <c r="D272" s="7">
        <v>4</v>
      </c>
      <c r="E272" s="11">
        <v>5</v>
      </c>
      <c r="F272" s="7">
        <v>6</v>
      </c>
      <c r="G272" s="96" t="s">
        <v>37</v>
      </c>
      <c r="H272" s="97"/>
    </row>
    <row r="273" spans="1:8" ht="60.75" thickBot="1" x14ac:dyDescent="0.3">
      <c r="A273" s="2" t="s">
        <v>7</v>
      </c>
      <c r="B273" s="6">
        <f>B274</f>
        <v>59984.520000000004</v>
      </c>
      <c r="C273" s="12"/>
      <c r="D273" s="6">
        <f>D274</f>
        <v>18942.479999999996</v>
      </c>
      <c r="E273" s="8" t="s">
        <v>8</v>
      </c>
      <c r="F273" s="8" t="s">
        <v>8</v>
      </c>
      <c r="G273" s="90">
        <f>81689-344+20</f>
        <v>81365</v>
      </c>
      <c r="H273" s="91"/>
    </row>
    <row r="274" spans="1:8" ht="15.75" thickBot="1" x14ac:dyDescent="0.3">
      <c r="A274" s="3" t="s">
        <v>9</v>
      </c>
      <c r="B274" s="6">
        <f>G274*76%</f>
        <v>59984.520000000004</v>
      </c>
      <c r="C274" s="12"/>
      <c r="D274" s="21">
        <f t="shared" ref="D274:D279" si="7">G274-B274</f>
        <v>18942.479999999996</v>
      </c>
      <c r="E274" s="8" t="s">
        <v>8</v>
      </c>
      <c r="F274" s="8" t="s">
        <v>8</v>
      </c>
      <c r="G274" s="90">
        <f>G273-G275</f>
        <v>78927</v>
      </c>
      <c r="H274" s="91"/>
    </row>
    <row r="275" spans="1:8" ht="15.75" thickBot="1" x14ac:dyDescent="0.3">
      <c r="A275" s="2" t="s">
        <v>10</v>
      </c>
      <c r="B275" s="6">
        <f>G275*76%</f>
        <v>1852.88</v>
      </c>
      <c r="C275" s="12"/>
      <c r="D275" s="31">
        <f t="shared" si="7"/>
        <v>585.11999999999989</v>
      </c>
      <c r="E275" s="8" t="s">
        <v>8</v>
      </c>
      <c r="F275" s="8" t="s">
        <v>8</v>
      </c>
      <c r="G275" s="90">
        <v>2438</v>
      </c>
      <c r="H275" s="91"/>
    </row>
    <row r="276" spans="1:8" ht="60.75" thickBot="1" x14ac:dyDescent="0.3">
      <c r="A276" s="2" t="s">
        <v>11</v>
      </c>
      <c r="B276" s="6">
        <f>G276*76%</f>
        <v>20775.36</v>
      </c>
      <c r="C276" s="12"/>
      <c r="D276" s="21">
        <f t="shared" si="7"/>
        <v>6560.6399999999994</v>
      </c>
      <c r="E276" s="8" t="s">
        <v>8</v>
      </c>
      <c r="F276" s="8" t="s">
        <v>8</v>
      </c>
      <c r="G276" s="90">
        <f>27492-156</f>
        <v>27336</v>
      </c>
      <c r="H276" s="91"/>
    </row>
    <row r="277" spans="1:8" ht="30.75" thickBot="1" x14ac:dyDescent="0.3">
      <c r="A277" s="2" t="s">
        <v>12</v>
      </c>
      <c r="B277" s="6">
        <f>G277*76%</f>
        <v>372.4</v>
      </c>
      <c r="C277" s="12"/>
      <c r="D277" s="21">
        <f t="shared" si="7"/>
        <v>117.60000000000002</v>
      </c>
      <c r="E277" s="8" t="s">
        <v>8</v>
      </c>
      <c r="F277" s="8" t="s">
        <v>8</v>
      </c>
      <c r="G277" s="90">
        <f>146+344</f>
        <v>490</v>
      </c>
      <c r="H277" s="91"/>
    </row>
    <row r="278" spans="1:8" ht="15.75" thickBot="1" x14ac:dyDescent="0.3">
      <c r="A278" s="2" t="s">
        <v>13</v>
      </c>
      <c r="B278" s="6">
        <f>G278*56%</f>
        <v>0</v>
      </c>
      <c r="C278" s="6"/>
      <c r="D278" s="21">
        <f t="shared" si="7"/>
        <v>0</v>
      </c>
      <c r="E278" s="8" t="s">
        <v>8</v>
      </c>
      <c r="F278" s="8" t="s">
        <v>8</v>
      </c>
      <c r="G278" s="90">
        <v>0</v>
      </c>
      <c r="H278" s="91"/>
    </row>
    <row r="279" spans="1:8" ht="30.75" thickBot="1" x14ac:dyDescent="0.3">
      <c r="A279" s="2" t="s">
        <v>14</v>
      </c>
      <c r="B279" s="6">
        <f>G279*56%</f>
        <v>468.72</v>
      </c>
      <c r="C279" s="6"/>
      <c r="D279" s="21">
        <f t="shared" si="7"/>
        <v>368.28</v>
      </c>
      <c r="E279" s="8" t="s">
        <v>8</v>
      </c>
      <c r="F279" s="8" t="s">
        <v>8</v>
      </c>
      <c r="G279" s="90">
        <v>837</v>
      </c>
      <c r="H279" s="91"/>
    </row>
    <row r="280" spans="1:8" ht="45.75" thickBot="1" x14ac:dyDescent="0.3">
      <c r="A280" s="2" t="s">
        <v>15</v>
      </c>
      <c r="B280" s="8" t="s">
        <v>8</v>
      </c>
      <c r="C280" s="8" t="s">
        <v>8</v>
      </c>
      <c r="D280" s="6"/>
      <c r="E280" s="8" t="s">
        <v>8</v>
      </c>
      <c r="F280" s="8" t="s">
        <v>8</v>
      </c>
      <c r="G280" s="90"/>
      <c r="H280" s="91"/>
    </row>
    <row r="281" spans="1:8" ht="15.75" thickBot="1" x14ac:dyDescent="0.3">
      <c r="A281" s="2" t="s">
        <v>16</v>
      </c>
      <c r="B281" s="8" t="s">
        <v>8</v>
      </c>
      <c r="C281" s="8" t="s">
        <v>8</v>
      </c>
      <c r="D281" s="12"/>
      <c r="E281" s="6">
        <v>0</v>
      </c>
      <c r="F281" s="6"/>
      <c r="G281" s="90">
        <v>0</v>
      </c>
      <c r="H281" s="91"/>
    </row>
    <row r="282" spans="1:8" ht="15.75" thickBot="1" x14ac:dyDescent="0.3">
      <c r="A282" s="3" t="s">
        <v>17</v>
      </c>
      <c r="B282" s="6">
        <f>G282*56%</f>
        <v>0</v>
      </c>
      <c r="C282" s="8"/>
      <c r="D282" s="6"/>
      <c r="E282" s="6">
        <f>G282-B282</f>
        <v>0</v>
      </c>
      <c r="F282" s="6"/>
      <c r="G282" s="90">
        <v>0</v>
      </c>
      <c r="H282" s="91"/>
    </row>
    <row r="283" spans="1:8" ht="15.75" thickBot="1" x14ac:dyDescent="0.3">
      <c r="A283" s="3" t="s">
        <v>18</v>
      </c>
      <c r="B283" s="6"/>
      <c r="C283" s="8"/>
      <c r="D283" s="8"/>
      <c r="E283" s="6"/>
      <c r="F283" s="6"/>
      <c r="G283" s="90"/>
      <c r="H283" s="91"/>
    </row>
    <row r="284" spans="1:8" ht="45.75" thickBot="1" x14ac:dyDescent="0.3">
      <c r="A284" s="2" t="s">
        <v>19</v>
      </c>
      <c r="B284" s="6"/>
      <c r="C284" s="8"/>
      <c r="D284" s="6"/>
      <c r="E284" s="6"/>
      <c r="F284" s="6"/>
      <c r="G284" s="94"/>
      <c r="H284" s="95"/>
    </row>
    <row r="285" spans="1:8" ht="30.75" thickBot="1" x14ac:dyDescent="0.3">
      <c r="A285" s="2" t="s">
        <v>20</v>
      </c>
      <c r="B285" s="6">
        <f>G285*56%</f>
        <v>415.52000000000004</v>
      </c>
      <c r="C285" s="8"/>
      <c r="D285" s="6"/>
      <c r="E285" s="6">
        <f>G285-B285</f>
        <v>326.47999999999996</v>
      </c>
      <c r="F285" s="6"/>
      <c r="G285" s="90">
        <v>742</v>
      </c>
      <c r="H285" s="91"/>
    </row>
    <row r="286" spans="1:8" ht="30.75" thickBot="1" x14ac:dyDescent="0.3">
      <c r="A286" s="2" t="s">
        <v>21</v>
      </c>
      <c r="B286" s="6">
        <f>G286*56%</f>
        <v>3412.0800000000004</v>
      </c>
      <c r="C286" s="6"/>
      <c r="D286" s="21">
        <f>G286-B286</f>
        <v>2680.9199999999996</v>
      </c>
      <c r="E286" s="8" t="s">
        <v>8</v>
      </c>
      <c r="F286" s="8" t="s">
        <v>8</v>
      </c>
      <c r="G286" s="90">
        <f>5543-G281+550</f>
        <v>6093</v>
      </c>
      <c r="H286" s="91"/>
    </row>
    <row r="287" spans="1:8" ht="15.75" thickBot="1" x14ac:dyDescent="0.3">
      <c r="A287" s="3" t="s">
        <v>22</v>
      </c>
      <c r="B287" s="6">
        <f>G287*56%</f>
        <v>235.76000000000002</v>
      </c>
      <c r="C287" s="6"/>
      <c r="D287" s="21">
        <f>G287-B287</f>
        <v>185.23999999999998</v>
      </c>
      <c r="E287" s="8" t="s">
        <v>8</v>
      </c>
      <c r="F287" s="8" t="s">
        <v>8</v>
      </c>
      <c r="G287" s="90">
        <v>421</v>
      </c>
      <c r="H287" s="91"/>
    </row>
    <row r="288" spans="1:8" ht="15.75" thickBot="1" x14ac:dyDescent="0.3">
      <c r="A288" s="3" t="s">
        <v>23</v>
      </c>
      <c r="B288" s="8" t="s">
        <v>8</v>
      </c>
      <c r="C288" s="12"/>
      <c r="D288" s="8" t="s">
        <v>8</v>
      </c>
      <c r="E288" s="8" t="s">
        <v>8</v>
      </c>
      <c r="F288" s="8" t="s">
        <v>8</v>
      </c>
      <c r="G288" s="94"/>
      <c r="H288" s="95"/>
    </row>
    <row r="289" spans="1:8" ht="15.75" thickBot="1" x14ac:dyDescent="0.3">
      <c r="A289" s="3" t="s">
        <v>24</v>
      </c>
      <c r="B289" s="6">
        <f>G289*56%</f>
        <v>0</v>
      </c>
      <c r="C289" s="6"/>
      <c r="D289" s="6"/>
      <c r="E289" s="8" t="s">
        <v>8</v>
      </c>
      <c r="F289" s="8" t="s">
        <v>8</v>
      </c>
      <c r="G289" s="90"/>
      <c r="H289" s="91"/>
    </row>
    <row r="290" spans="1:8" ht="15.75" thickBot="1" x14ac:dyDescent="0.3">
      <c r="A290" s="4" t="s">
        <v>25</v>
      </c>
      <c r="B290" s="6">
        <f>SUM(B274:B289)</f>
        <v>87517.24</v>
      </c>
      <c r="C290" s="6"/>
      <c r="D290" s="6">
        <f>SUM(D274:D289)</f>
        <v>29440.279999999992</v>
      </c>
      <c r="E290" s="6">
        <f>SUM(E274:E289)</f>
        <v>326.47999999999996</v>
      </c>
      <c r="F290" s="6"/>
      <c r="G290" s="90">
        <f>SUM(G274:H289)</f>
        <v>117284</v>
      </c>
      <c r="H290" s="91"/>
    </row>
    <row r="291" spans="1:8" x14ac:dyDescent="0.25">
      <c r="A291" s="92" t="s">
        <v>26</v>
      </c>
      <c r="B291" s="92"/>
      <c r="C291" s="92"/>
      <c r="D291" s="92"/>
      <c r="E291" s="92"/>
      <c r="F291" s="92"/>
      <c r="G291" s="92"/>
      <c r="H291" s="92"/>
    </row>
    <row r="292" spans="1:8" x14ac:dyDescent="0.25">
      <c r="A292" s="93" t="s">
        <v>27</v>
      </c>
      <c r="B292" s="93"/>
      <c r="C292" s="93"/>
      <c r="D292" s="93"/>
      <c r="E292" s="93"/>
      <c r="F292" s="93"/>
      <c r="G292" s="93"/>
      <c r="H292" s="93"/>
    </row>
    <row r="293" spans="1:8" x14ac:dyDescent="0.25">
      <c r="A293" s="93" t="s">
        <v>28</v>
      </c>
      <c r="B293" s="93"/>
      <c r="C293" s="93"/>
      <c r="D293" s="93"/>
      <c r="E293" s="93"/>
      <c r="F293" s="93"/>
      <c r="G293" s="93"/>
      <c r="H293" s="93"/>
    </row>
    <row r="294" spans="1:8" x14ac:dyDescent="0.25">
      <c r="A294" s="1"/>
      <c r="B294" s="9"/>
      <c r="C294" s="9"/>
      <c r="D294" s="9"/>
      <c r="E294" s="9"/>
      <c r="F294" s="9"/>
      <c r="G294" s="9"/>
      <c r="H294" s="9"/>
    </row>
    <row r="295" spans="1:8" ht="15.75" x14ac:dyDescent="0.25">
      <c r="A295" s="5"/>
    </row>
    <row r="296" spans="1:8" x14ac:dyDescent="0.25">
      <c r="B296" s="13" t="s">
        <v>62</v>
      </c>
      <c r="C296" s="13">
        <v>83199</v>
      </c>
    </row>
    <row r="297" spans="1:8" x14ac:dyDescent="0.25">
      <c r="C297" s="10">
        <f>C296-B290</f>
        <v>-4318.2400000000052</v>
      </c>
    </row>
    <row r="301" spans="1:8" x14ac:dyDescent="0.25">
      <c r="A301" s="17"/>
      <c r="B301" s="18"/>
      <c r="C301" s="18"/>
      <c r="D301" s="18"/>
      <c r="E301" s="112" t="s">
        <v>29</v>
      </c>
      <c r="F301" s="112"/>
      <c r="G301" s="112"/>
      <c r="H301" s="112"/>
    </row>
    <row r="302" spans="1:8" x14ac:dyDescent="0.25">
      <c r="A302" s="113"/>
      <c r="B302" s="114"/>
      <c r="C302" s="114"/>
      <c r="D302" s="115"/>
      <c r="E302" s="115" t="s">
        <v>0</v>
      </c>
      <c r="F302" s="115"/>
      <c r="G302" s="115"/>
      <c r="H302" s="115"/>
    </row>
    <row r="303" spans="1:8" x14ac:dyDescent="0.25">
      <c r="A303" s="113"/>
      <c r="B303" s="114"/>
      <c r="C303" s="114"/>
      <c r="D303" s="115"/>
      <c r="E303" s="115" t="s">
        <v>1</v>
      </c>
      <c r="F303" s="115"/>
      <c r="G303" s="115"/>
      <c r="H303" s="115"/>
    </row>
    <row r="304" spans="1:8" ht="15.75" thickBot="1" x14ac:dyDescent="0.3">
      <c r="A304" s="98" t="s">
        <v>47</v>
      </c>
      <c r="B304" s="98"/>
      <c r="C304" s="98"/>
      <c r="D304" s="98"/>
      <c r="E304" s="98"/>
      <c r="F304" s="98"/>
      <c r="G304" s="99"/>
      <c r="H304" s="99"/>
    </row>
    <row r="305" spans="1:8" ht="15.75" thickBot="1" x14ac:dyDescent="0.3">
      <c r="A305" s="100" t="s">
        <v>2</v>
      </c>
      <c r="B305" s="103" t="s">
        <v>30</v>
      </c>
      <c r="C305" s="104"/>
      <c r="D305" s="104"/>
      <c r="E305" s="104"/>
      <c r="F305" s="104"/>
      <c r="G305" s="105" t="s">
        <v>3</v>
      </c>
      <c r="H305" s="106"/>
    </row>
    <row r="306" spans="1:8" ht="105.75" thickBot="1" x14ac:dyDescent="0.3">
      <c r="A306" s="101"/>
      <c r="B306" s="96" t="s">
        <v>30</v>
      </c>
      <c r="C306" s="107"/>
      <c r="D306" s="20" t="s">
        <v>32</v>
      </c>
      <c r="E306" s="107" t="s">
        <v>4</v>
      </c>
      <c r="F306" s="97"/>
      <c r="G306" s="108"/>
      <c r="H306" s="109"/>
    </row>
    <row r="307" spans="1:8" ht="165.75" thickBot="1" x14ac:dyDescent="0.3">
      <c r="A307" s="102"/>
      <c r="B307" s="7" t="s">
        <v>36</v>
      </c>
      <c r="C307" s="7" t="s">
        <v>5</v>
      </c>
      <c r="D307" s="7" t="s">
        <v>33</v>
      </c>
      <c r="E307" s="7" t="s">
        <v>34</v>
      </c>
      <c r="F307" s="7" t="s">
        <v>35</v>
      </c>
      <c r="G307" s="110"/>
      <c r="H307" s="111"/>
    </row>
    <row r="308" spans="1:8" ht="15.75" thickBot="1" x14ac:dyDescent="0.3">
      <c r="A308" s="19">
        <v>1</v>
      </c>
      <c r="B308" s="7">
        <v>2</v>
      </c>
      <c r="C308" s="11">
        <v>3</v>
      </c>
      <c r="D308" s="7">
        <v>4</v>
      </c>
      <c r="E308" s="11">
        <v>5</v>
      </c>
      <c r="F308" s="7">
        <v>6</v>
      </c>
      <c r="G308" s="96" t="s">
        <v>37</v>
      </c>
      <c r="H308" s="97"/>
    </row>
    <row r="309" spans="1:8" ht="60.75" thickBot="1" x14ac:dyDescent="0.3">
      <c r="A309" s="2" t="s">
        <v>7</v>
      </c>
      <c r="B309" s="6">
        <f>B310</f>
        <v>68544.399999999994</v>
      </c>
      <c r="C309" s="12"/>
      <c r="D309" s="6">
        <f>D310</f>
        <v>21645.600000000006</v>
      </c>
      <c r="E309" s="8" t="s">
        <v>8</v>
      </c>
      <c r="F309" s="8" t="s">
        <v>8</v>
      </c>
      <c r="G309" s="90">
        <f>93014-407+21</f>
        <v>92628</v>
      </c>
      <c r="H309" s="91"/>
    </row>
    <row r="310" spans="1:8" ht="15.75" thickBot="1" x14ac:dyDescent="0.3">
      <c r="A310" s="3" t="s">
        <v>9</v>
      </c>
      <c r="B310" s="6">
        <f>G310*76%</f>
        <v>68544.399999999994</v>
      </c>
      <c r="C310" s="12"/>
      <c r="D310" s="21">
        <f t="shared" ref="D310:D315" si="8">G310-B310</f>
        <v>21645.600000000006</v>
      </c>
      <c r="E310" s="8" t="s">
        <v>8</v>
      </c>
      <c r="F310" s="8" t="s">
        <v>8</v>
      </c>
      <c r="G310" s="90">
        <f>G309-G311</f>
        <v>90190</v>
      </c>
      <c r="H310" s="91"/>
    </row>
    <row r="311" spans="1:8" ht="15.75" thickBot="1" x14ac:dyDescent="0.3">
      <c r="A311" s="2" t="s">
        <v>10</v>
      </c>
      <c r="B311" s="6">
        <f>G311*76%</f>
        <v>1852.88</v>
      </c>
      <c r="C311" s="12"/>
      <c r="D311" s="31">
        <f t="shared" si="8"/>
        <v>585.11999999999989</v>
      </c>
      <c r="E311" s="8" t="s">
        <v>8</v>
      </c>
      <c r="F311" s="8" t="s">
        <v>8</v>
      </c>
      <c r="G311" s="90">
        <v>2438</v>
      </c>
      <c r="H311" s="91"/>
    </row>
    <row r="312" spans="1:8" ht="60.75" thickBot="1" x14ac:dyDescent="0.3">
      <c r="A312" s="2" t="s">
        <v>11</v>
      </c>
      <c r="B312" s="6">
        <f>G312*76%</f>
        <v>23069.8</v>
      </c>
      <c r="C312" s="12"/>
      <c r="D312" s="21">
        <f t="shared" si="8"/>
        <v>7285.2000000000007</v>
      </c>
      <c r="E312" s="8" t="s">
        <v>8</v>
      </c>
      <c r="F312" s="8" t="s">
        <v>8</v>
      </c>
      <c r="G312" s="90">
        <f>30521-166</f>
        <v>30355</v>
      </c>
      <c r="H312" s="91"/>
    </row>
    <row r="313" spans="1:8" ht="30.75" thickBot="1" x14ac:dyDescent="0.3">
      <c r="A313" s="2" t="s">
        <v>12</v>
      </c>
      <c r="B313" s="6">
        <f>G313*76%</f>
        <v>435.48</v>
      </c>
      <c r="C313" s="12"/>
      <c r="D313" s="21">
        <f t="shared" si="8"/>
        <v>137.51999999999998</v>
      </c>
      <c r="E313" s="8" t="s">
        <v>8</v>
      </c>
      <c r="F313" s="8" t="s">
        <v>8</v>
      </c>
      <c r="G313" s="90">
        <f>166+407</f>
        <v>573</v>
      </c>
      <c r="H313" s="91"/>
    </row>
    <row r="314" spans="1:8" ht="15.75" thickBot="1" x14ac:dyDescent="0.3">
      <c r="A314" s="2" t="s">
        <v>13</v>
      </c>
      <c r="B314" s="6">
        <f>G314*56%</f>
        <v>0</v>
      </c>
      <c r="C314" s="6"/>
      <c r="D314" s="21">
        <f t="shared" si="8"/>
        <v>0</v>
      </c>
      <c r="E314" s="8" t="s">
        <v>8</v>
      </c>
      <c r="F314" s="8" t="s">
        <v>8</v>
      </c>
      <c r="G314" s="90">
        <v>0</v>
      </c>
      <c r="H314" s="91"/>
    </row>
    <row r="315" spans="1:8" ht="30.75" thickBot="1" x14ac:dyDescent="0.3">
      <c r="A315" s="2" t="s">
        <v>14</v>
      </c>
      <c r="B315" s="6">
        <f>G315*56%</f>
        <v>3442.88</v>
      </c>
      <c r="C315" s="6"/>
      <c r="D315" s="21">
        <f t="shared" si="8"/>
        <v>2705.12</v>
      </c>
      <c r="E315" s="8" t="s">
        <v>8</v>
      </c>
      <c r="F315" s="8" t="s">
        <v>8</v>
      </c>
      <c r="G315" s="90">
        <v>6148</v>
      </c>
      <c r="H315" s="91"/>
    </row>
    <row r="316" spans="1:8" ht="45.75" thickBot="1" x14ac:dyDescent="0.3">
      <c r="A316" s="2" t="s">
        <v>15</v>
      </c>
      <c r="B316" s="8" t="s">
        <v>8</v>
      </c>
      <c r="C316" s="8" t="s">
        <v>8</v>
      </c>
      <c r="D316" s="6"/>
      <c r="E316" s="8" t="s">
        <v>8</v>
      </c>
      <c r="F316" s="8" t="s">
        <v>8</v>
      </c>
      <c r="G316" s="90"/>
      <c r="H316" s="91"/>
    </row>
    <row r="317" spans="1:8" ht="15.75" thickBot="1" x14ac:dyDescent="0.3">
      <c r="A317" s="2" t="s">
        <v>16</v>
      </c>
      <c r="B317" s="8" t="s">
        <v>8</v>
      </c>
      <c r="C317" s="8" t="s">
        <v>8</v>
      </c>
      <c r="D317" s="12"/>
      <c r="E317" s="6">
        <v>750</v>
      </c>
      <c r="F317" s="6"/>
      <c r="G317" s="90">
        <v>750</v>
      </c>
      <c r="H317" s="91"/>
    </row>
    <row r="318" spans="1:8" ht="15.75" thickBot="1" x14ac:dyDescent="0.3">
      <c r="A318" s="3" t="s">
        <v>17</v>
      </c>
      <c r="B318" s="6">
        <f>G318*56%</f>
        <v>0</v>
      </c>
      <c r="C318" s="8"/>
      <c r="D318" s="6"/>
      <c r="E318" s="6">
        <f>G318-B318</f>
        <v>0</v>
      </c>
      <c r="F318" s="6"/>
      <c r="G318" s="90">
        <v>0</v>
      </c>
      <c r="H318" s="91"/>
    </row>
    <row r="319" spans="1:8" ht="15.75" thickBot="1" x14ac:dyDescent="0.3">
      <c r="A319" s="3" t="s">
        <v>18</v>
      </c>
      <c r="B319" s="6"/>
      <c r="C319" s="8"/>
      <c r="D319" s="8"/>
      <c r="E319" s="6"/>
      <c r="F319" s="6"/>
      <c r="G319" s="90"/>
      <c r="H319" s="91"/>
    </row>
    <row r="320" spans="1:8" ht="45.75" thickBot="1" x14ac:dyDescent="0.3">
      <c r="A320" s="2" t="s">
        <v>19</v>
      </c>
      <c r="B320" s="6"/>
      <c r="C320" s="8"/>
      <c r="D320" s="6"/>
      <c r="E320" s="6"/>
      <c r="F320" s="6"/>
      <c r="G320" s="94"/>
      <c r="H320" s="95"/>
    </row>
    <row r="321" spans="1:8" ht="30.75" thickBot="1" x14ac:dyDescent="0.3">
      <c r="A321" s="2" t="s">
        <v>20</v>
      </c>
      <c r="B321" s="6">
        <f>G321*56%</f>
        <v>421.68000000000006</v>
      </c>
      <c r="C321" s="8"/>
      <c r="D321" s="6"/>
      <c r="E321" s="6">
        <f>G321-B321</f>
        <v>331.31999999999994</v>
      </c>
      <c r="F321" s="6"/>
      <c r="G321" s="90">
        <v>753</v>
      </c>
      <c r="H321" s="91"/>
    </row>
    <row r="322" spans="1:8" ht="30.75" thickBot="1" x14ac:dyDescent="0.3">
      <c r="A322" s="2" t="s">
        <v>21</v>
      </c>
      <c r="B322" s="6">
        <f>G322*56%</f>
        <v>3422.1600000000003</v>
      </c>
      <c r="C322" s="6"/>
      <c r="D322" s="21">
        <f>G322-B322</f>
        <v>2688.8399999999997</v>
      </c>
      <c r="E322" s="8" t="s">
        <v>8</v>
      </c>
      <c r="F322" s="8" t="s">
        <v>8</v>
      </c>
      <c r="G322" s="90">
        <f>6311-G317+550</f>
        <v>6111</v>
      </c>
      <c r="H322" s="91"/>
    </row>
    <row r="323" spans="1:8" ht="15.75" thickBot="1" x14ac:dyDescent="0.3">
      <c r="A323" s="3" t="s">
        <v>22</v>
      </c>
      <c r="B323" s="6">
        <f>G323*56%</f>
        <v>250.32000000000002</v>
      </c>
      <c r="C323" s="6"/>
      <c r="D323" s="21">
        <f>G323-B323</f>
        <v>196.67999999999998</v>
      </c>
      <c r="E323" s="8" t="s">
        <v>8</v>
      </c>
      <c r="F323" s="8" t="s">
        <v>8</v>
      </c>
      <c r="G323" s="90">
        <f>447</f>
        <v>447</v>
      </c>
      <c r="H323" s="91"/>
    </row>
    <row r="324" spans="1:8" ht="15.75" thickBot="1" x14ac:dyDescent="0.3">
      <c r="A324" s="3" t="s">
        <v>23</v>
      </c>
      <c r="B324" s="8" t="s">
        <v>8</v>
      </c>
      <c r="C324" s="12"/>
      <c r="D324" s="8" t="s">
        <v>8</v>
      </c>
      <c r="E324" s="8" t="s">
        <v>8</v>
      </c>
      <c r="F324" s="8" t="s">
        <v>8</v>
      </c>
      <c r="G324" s="94"/>
      <c r="H324" s="95"/>
    </row>
    <row r="325" spans="1:8" ht="15.75" thickBot="1" x14ac:dyDescent="0.3">
      <c r="A325" s="3" t="s">
        <v>24</v>
      </c>
      <c r="B325" s="6">
        <f>G325*56%</f>
        <v>0</v>
      </c>
      <c r="C325" s="6"/>
      <c r="D325" s="6"/>
      <c r="E325" s="8" t="s">
        <v>8</v>
      </c>
      <c r="F325" s="8" t="s">
        <v>8</v>
      </c>
      <c r="G325" s="90"/>
      <c r="H325" s="91"/>
    </row>
    <row r="326" spans="1:8" ht="15.75" thickBot="1" x14ac:dyDescent="0.3">
      <c r="A326" s="4" t="s">
        <v>25</v>
      </c>
      <c r="B326" s="6">
        <f>SUM(B310:B325)</f>
        <v>101439.6</v>
      </c>
      <c r="C326" s="6"/>
      <c r="D326" s="6">
        <f>SUM(D310:D325)</f>
        <v>35244.080000000002</v>
      </c>
      <c r="E326" s="6">
        <f>SUM(E310:E325)</f>
        <v>1081.32</v>
      </c>
      <c r="F326" s="6"/>
      <c r="G326" s="90">
        <f>SUM(G310:H325)</f>
        <v>137765</v>
      </c>
      <c r="H326" s="91"/>
    </row>
    <row r="327" spans="1:8" x14ac:dyDescent="0.25">
      <c r="A327" s="92" t="s">
        <v>26</v>
      </c>
      <c r="B327" s="92"/>
      <c r="C327" s="92"/>
      <c r="D327" s="92"/>
      <c r="E327" s="92"/>
      <c r="F327" s="92"/>
      <c r="G327" s="92"/>
      <c r="H327" s="92"/>
    </row>
    <row r="328" spans="1:8" x14ac:dyDescent="0.25">
      <c r="A328" s="93" t="s">
        <v>27</v>
      </c>
      <c r="B328" s="93"/>
      <c r="C328" s="93"/>
      <c r="D328" s="93"/>
      <c r="E328" s="93"/>
      <c r="F328" s="93"/>
      <c r="G328" s="93"/>
      <c r="H328" s="93"/>
    </row>
    <row r="329" spans="1:8" x14ac:dyDescent="0.25">
      <c r="A329" s="93" t="s">
        <v>28</v>
      </c>
      <c r="B329" s="93"/>
      <c r="C329" s="93"/>
      <c r="D329" s="93"/>
      <c r="E329" s="93"/>
      <c r="F329" s="93"/>
      <c r="G329" s="93"/>
      <c r="H329" s="93"/>
    </row>
    <row r="330" spans="1:8" x14ac:dyDescent="0.25">
      <c r="A330" s="1"/>
      <c r="B330" s="9"/>
      <c r="C330" s="9"/>
      <c r="D330" s="9"/>
      <c r="E330" s="9"/>
      <c r="F330" s="9"/>
      <c r="G330" s="9"/>
      <c r="H330" s="9"/>
    </row>
    <row r="331" spans="1:8" ht="15.75" x14ac:dyDescent="0.25">
      <c r="A331" s="5"/>
    </row>
    <row r="332" spans="1:8" x14ac:dyDescent="0.25">
      <c r="B332" s="13" t="s">
        <v>48</v>
      </c>
      <c r="C332" s="13">
        <v>89134</v>
      </c>
    </row>
    <row r="333" spans="1:8" x14ac:dyDescent="0.25">
      <c r="C333" s="10">
        <f>C332-B326</f>
        <v>-12305.600000000006</v>
      </c>
    </row>
    <row r="335" spans="1:8" x14ac:dyDescent="0.25">
      <c r="A335" s="17"/>
      <c r="B335" s="18"/>
      <c r="C335" s="18"/>
      <c r="D335" s="18"/>
      <c r="E335" s="112" t="s">
        <v>29</v>
      </c>
      <c r="F335" s="112"/>
      <c r="G335" s="112"/>
      <c r="H335" s="112"/>
    </row>
    <row r="336" spans="1:8" x14ac:dyDescent="0.25">
      <c r="A336" s="113"/>
      <c r="B336" s="114"/>
      <c r="C336" s="114"/>
      <c r="D336" s="115"/>
      <c r="E336" s="115" t="s">
        <v>0</v>
      </c>
      <c r="F336" s="115"/>
      <c r="G336" s="115"/>
      <c r="H336" s="115"/>
    </row>
    <row r="337" spans="1:9" x14ac:dyDescent="0.25">
      <c r="A337" s="113"/>
      <c r="B337" s="114"/>
      <c r="C337" s="114"/>
      <c r="D337" s="115"/>
      <c r="E337" s="115" t="s">
        <v>1</v>
      </c>
      <c r="F337" s="115"/>
      <c r="G337" s="115"/>
      <c r="H337" s="115"/>
    </row>
    <row r="338" spans="1:9" ht="15.75" thickBot="1" x14ac:dyDescent="0.3">
      <c r="A338" s="98" t="s">
        <v>64</v>
      </c>
      <c r="B338" s="98"/>
      <c r="C338" s="98"/>
      <c r="D338" s="98"/>
      <c r="E338" s="98"/>
      <c r="F338" s="98"/>
      <c r="G338" s="99"/>
      <c r="H338" s="99"/>
    </row>
    <row r="339" spans="1:9" ht="15.75" thickBot="1" x14ac:dyDescent="0.3">
      <c r="A339" s="100" t="s">
        <v>2</v>
      </c>
      <c r="B339" s="103" t="s">
        <v>30</v>
      </c>
      <c r="C339" s="104"/>
      <c r="D339" s="104"/>
      <c r="E339" s="104"/>
      <c r="F339" s="104"/>
      <c r="G339" s="105" t="s">
        <v>3</v>
      </c>
      <c r="H339" s="106"/>
    </row>
    <row r="340" spans="1:9" ht="105.75" thickBot="1" x14ac:dyDescent="0.3">
      <c r="A340" s="101"/>
      <c r="B340" s="96" t="s">
        <v>30</v>
      </c>
      <c r="C340" s="107"/>
      <c r="D340" s="20" t="s">
        <v>32</v>
      </c>
      <c r="E340" s="107" t="s">
        <v>4</v>
      </c>
      <c r="F340" s="97"/>
      <c r="G340" s="108"/>
      <c r="H340" s="109"/>
    </row>
    <row r="341" spans="1:9" ht="165.75" thickBot="1" x14ac:dyDescent="0.3">
      <c r="A341" s="102"/>
      <c r="B341" s="7" t="s">
        <v>36</v>
      </c>
      <c r="C341" s="7" t="s">
        <v>5</v>
      </c>
      <c r="D341" s="7" t="s">
        <v>33</v>
      </c>
      <c r="E341" s="7" t="s">
        <v>34</v>
      </c>
      <c r="F341" s="7" t="s">
        <v>35</v>
      </c>
      <c r="G341" s="110"/>
      <c r="H341" s="111"/>
    </row>
    <row r="342" spans="1:9" ht="15.75" thickBot="1" x14ac:dyDescent="0.3">
      <c r="A342" s="19">
        <v>1</v>
      </c>
      <c r="B342" s="7">
        <v>2</v>
      </c>
      <c r="C342" s="11">
        <v>3</v>
      </c>
      <c r="D342" s="7">
        <v>4</v>
      </c>
      <c r="E342" s="11">
        <v>5</v>
      </c>
      <c r="F342" s="7">
        <v>6</v>
      </c>
      <c r="G342" s="96" t="s">
        <v>37</v>
      </c>
      <c r="H342" s="97"/>
    </row>
    <row r="343" spans="1:9" ht="60.75" thickBot="1" x14ac:dyDescent="0.3">
      <c r="A343" s="2" t="s">
        <v>7</v>
      </c>
      <c r="B343" s="6">
        <f>B344</f>
        <v>79486.12</v>
      </c>
      <c r="C343" s="12"/>
      <c r="D343" s="6">
        <f>D344</f>
        <v>25100.880000000005</v>
      </c>
      <c r="E343" s="8" t="s">
        <v>8</v>
      </c>
      <c r="F343" s="8" t="s">
        <v>8</v>
      </c>
      <c r="G343" s="90">
        <f>107443-495+21+56</f>
        <v>107025</v>
      </c>
      <c r="H343" s="91"/>
    </row>
    <row r="344" spans="1:9" ht="15.75" thickBot="1" x14ac:dyDescent="0.3">
      <c r="A344" s="3" t="s">
        <v>9</v>
      </c>
      <c r="B344" s="6">
        <f>G344*76%</f>
        <v>79486.12</v>
      </c>
      <c r="C344" s="12"/>
      <c r="D344" s="21">
        <f t="shared" ref="D344:D349" si="9">G344-B344</f>
        <v>25100.880000000005</v>
      </c>
      <c r="E344" s="8" t="s">
        <v>8</v>
      </c>
      <c r="F344" s="8" t="s">
        <v>8</v>
      </c>
      <c r="G344" s="90">
        <f>G343-G345</f>
        <v>104587</v>
      </c>
      <c r="H344" s="91"/>
    </row>
    <row r="345" spans="1:9" ht="15.75" thickBot="1" x14ac:dyDescent="0.3">
      <c r="A345" s="2" t="s">
        <v>10</v>
      </c>
      <c r="B345" s="6">
        <f>G345*76%</f>
        <v>1852.88</v>
      </c>
      <c r="C345" s="12"/>
      <c r="D345" s="31">
        <f t="shared" si="9"/>
        <v>585.11999999999989</v>
      </c>
      <c r="E345" s="8" t="s">
        <v>8</v>
      </c>
      <c r="F345" s="8" t="s">
        <v>8</v>
      </c>
      <c r="G345" s="90">
        <v>2438</v>
      </c>
      <c r="H345" s="91"/>
    </row>
    <row r="346" spans="1:9" ht="60.75" thickBot="1" x14ac:dyDescent="0.3">
      <c r="A346" s="2" t="s">
        <v>11</v>
      </c>
      <c r="B346" s="6">
        <f>G346*76%</f>
        <v>26261.040000000001</v>
      </c>
      <c r="C346" s="12"/>
      <c r="D346" s="21">
        <f t="shared" si="9"/>
        <v>8292.9599999999991</v>
      </c>
      <c r="E346" s="8" t="s">
        <v>8</v>
      </c>
      <c r="F346" s="8" t="s">
        <v>8</v>
      </c>
      <c r="G346" s="90">
        <f>34742-188</f>
        <v>34554</v>
      </c>
      <c r="H346" s="91"/>
    </row>
    <row r="347" spans="1:9" ht="30.75" thickBot="1" x14ac:dyDescent="0.3">
      <c r="A347" s="2" t="s">
        <v>12</v>
      </c>
      <c r="B347" s="6">
        <f>G347*76%</f>
        <v>519.08000000000004</v>
      </c>
      <c r="C347" s="12"/>
      <c r="D347" s="21">
        <f t="shared" si="9"/>
        <v>163.91999999999996</v>
      </c>
      <c r="E347" s="8" t="s">
        <v>8</v>
      </c>
      <c r="F347" s="8" t="s">
        <v>8</v>
      </c>
      <c r="G347" s="90">
        <f>188+495</f>
        <v>683</v>
      </c>
      <c r="H347" s="91"/>
      <c r="I347" s="10">
        <f>G343+G346+G347</f>
        <v>142262</v>
      </c>
    </row>
    <row r="348" spans="1:9" ht="15.75" thickBot="1" x14ac:dyDescent="0.3">
      <c r="A348" s="2" t="s">
        <v>13</v>
      </c>
      <c r="B348" s="6">
        <f>G348*56%</f>
        <v>0</v>
      </c>
      <c r="C348" s="6"/>
      <c r="D348" s="21">
        <f t="shared" si="9"/>
        <v>0</v>
      </c>
      <c r="E348" s="8" t="s">
        <v>8</v>
      </c>
      <c r="F348" s="8" t="s">
        <v>8</v>
      </c>
      <c r="G348" s="90">
        <v>0</v>
      </c>
      <c r="H348" s="91"/>
      <c r="I348">
        <f>116543.34+25718.99</f>
        <v>142262.32999999999</v>
      </c>
    </row>
    <row r="349" spans="1:9" ht="30.75" thickBot="1" x14ac:dyDescent="0.3">
      <c r="A349" s="2" t="s">
        <v>14</v>
      </c>
      <c r="B349" s="6">
        <f>G349*56%</f>
        <v>5364.8</v>
      </c>
      <c r="C349" s="6"/>
      <c r="D349" s="21">
        <f t="shared" si="9"/>
        <v>4215.2</v>
      </c>
      <c r="E349" s="8" t="s">
        <v>8</v>
      </c>
      <c r="F349" s="8" t="s">
        <v>8</v>
      </c>
      <c r="G349" s="90">
        <v>9580</v>
      </c>
      <c r="H349" s="91"/>
      <c r="I349" s="10">
        <f>I347-I348</f>
        <v>-0.32999999998719431</v>
      </c>
    </row>
    <row r="350" spans="1:9" ht="45.75" thickBot="1" x14ac:dyDescent="0.3">
      <c r="A350" s="2" t="s">
        <v>15</v>
      </c>
      <c r="B350" s="8" t="s">
        <v>8</v>
      </c>
      <c r="C350" s="8" t="s">
        <v>8</v>
      </c>
      <c r="D350" s="6"/>
      <c r="E350" s="8" t="s">
        <v>8</v>
      </c>
      <c r="F350" s="8" t="s">
        <v>8</v>
      </c>
      <c r="G350" s="90"/>
      <c r="H350" s="91"/>
    </row>
    <row r="351" spans="1:9" ht="15.75" thickBot="1" x14ac:dyDescent="0.3">
      <c r="A351" s="2" t="s">
        <v>16</v>
      </c>
      <c r="B351" s="8" t="s">
        <v>8</v>
      </c>
      <c r="C351" s="8" t="s">
        <v>8</v>
      </c>
      <c r="D351" s="12"/>
      <c r="E351" s="6">
        <v>2250</v>
      </c>
      <c r="F351" s="6"/>
      <c r="G351" s="90">
        <v>2250</v>
      </c>
      <c r="H351" s="91"/>
    </row>
    <row r="352" spans="1:9" ht="15.75" thickBot="1" x14ac:dyDescent="0.3">
      <c r="A352" s="3" t="s">
        <v>17</v>
      </c>
      <c r="B352" s="6">
        <f>G352*56%</f>
        <v>0</v>
      </c>
      <c r="C352" s="8"/>
      <c r="D352" s="6"/>
      <c r="E352" s="6">
        <f>G352-B352</f>
        <v>0</v>
      </c>
      <c r="F352" s="6"/>
      <c r="G352" s="90">
        <v>0</v>
      </c>
      <c r="H352" s="91"/>
    </row>
    <row r="353" spans="1:8" ht="15.75" thickBot="1" x14ac:dyDescent="0.3">
      <c r="A353" s="3" t="s">
        <v>18</v>
      </c>
      <c r="B353" s="6"/>
      <c r="C353" s="8"/>
      <c r="D353" s="8"/>
      <c r="E353" s="6"/>
      <c r="F353" s="6"/>
      <c r="G353" s="90"/>
      <c r="H353" s="91"/>
    </row>
    <row r="354" spans="1:8" ht="45.75" thickBot="1" x14ac:dyDescent="0.3">
      <c r="A354" s="2" t="s">
        <v>19</v>
      </c>
      <c r="B354" s="6"/>
      <c r="C354" s="8"/>
      <c r="D354" s="6"/>
      <c r="E354" s="6"/>
      <c r="F354" s="6"/>
      <c r="G354" s="94"/>
      <c r="H354" s="95"/>
    </row>
    <row r="355" spans="1:8" ht="30.75" thickBot="1" x14ac:dyDescent="0.3">
      <c r="A355" s="2" t="s">
        <v>20</v>
      </c>
      <c r="B355" s="6">
        <f>G355*56%</f>
        <v>427.84000000000003</v>
      </c>
      <c r="C355" s="8"/>
      <c r="D355" s="6"/>
      <c r="E355" s="6">
        <f>G355-B355</f>
        <v>336.15999999999997</v>
      </c>
      <c r="F355" s="6"/>
      <c r="G355" s="90">
        <v>764</v>
      </c>
      <c r="H355" s="91"/>
    </row>
    <row r="356" spans="1:8" ht="30.75" thickBot="1" x14ac:dyDescent="0.3">
      <c r="A356" s="2" t="s">
        <v>21</v>
      </c>
      <c r="B356" s="6">
        <f>G356*56%</f>
        <v>4296.88</v>
      </c>
      <c r="C356" s="6"/>
      <c r="D356" s="21">
        <f>G356-B356</f>
        <v>3376.12</v>
      </c>
      <c r="E356" s="8" t="s">
        <v>8</v>
      </c>
      <c r="F356" s="8" t="s">
        <v>8</v>
      </c>
      <c r="G356" s="90">
        <f>9373-G351+550</f>
        <v>7673</v>
      </c>
      <c r="H356" s="91"/>
    </row>
    <row r="357" spans="1:8" ht="15.75" thickBot="1" x14ac:dyDescent="0.3">
      <c r="A357" s="3" t="s">
        <v>22</v>
      </c>
      <c r="B357" s="6">
        <f>G357*56%</f>
        <v>267.68</v>
      </c>
      <c r="C357" s="6"/>
      <c r="D357" s="21">
        <f>G357-B357</f>
        <v>210.32</v>
      </c>
      <c r="E357" s="8" t="s">
        <v>8</v>
      </c>
      <c r="F357" s="8" t="s">
        <v>8</v>
      </c>
      <c r="G357" s="90">
        <v>478</v>
      </c>
      <c r="H357" s="91"/>
    </row>
    <row r="358" spans="1:8" ht="15.75" thickBot="1" x14ac:dyDescent="0.3">
      <c r="A358" s="3" t="s">
        <v>23</v>
      </c>
      <c r="B358" s="8" t="s">
        <v>8</v>
      </c>
      <c r="C358" s="12"/>
      <c r="D358" s="8" t="s">
        <v>8</v>
      </c>
      <c r="E358" s="8" t="s">
        <v>8</v>
      </c>
      <c r="F358" s="8" t="s">
        <v>8</v>
      </c>
      <c r="G358" s="94"/>
      <c r="H358" s="95"/>
    </row>
    <row r="359" spans="1:8" ht="15.75" thickBot="1" x14ac:dyDescent="0.3">
      <c r="A359" s="3" t="s">
        <v>24</v>
      </c>
      <c r="B359" s="6">
        <f>G359*56%</f>
        <v>0</v>
      </c>
      <c r="C359" s="6"/>
      <c r="D359" s="6"/>
      <c r="E359" s="8" t="s">
        <v>8</v>
      </c>
      <c r="F359" s="8" t="s">
        <v>8</v>
      </c>
      <c r="G359" s="90"/>
      <c r="H359" s="91"/>
    </row>
    <row r="360" spans="1:8" ht="15.75" thickBot="1" x14ac:dyDescent="0.3">
      <c r="A360" s="4" t="s">
        <v>25</v>
      </c>
      <c r="B360" s="6">
        <f>SUM(B344:B359)</f>
        <v>118476.32</v>
      </c>
      <c r="C360" s="6"/>
      <c r="D360" s="6">
        <f>SUM(D344:D359)</f>
        <v>41944.520000000004</v>
      </c>
      <c r="E360" s="6">
        <f>SUM(E344:E359)</f>
        <v>2586.16</v>
      </c>
      <c r="F360" s="6"/>
      <c r="G360" s="90">
        <f>SUM(G344:H359)</f>
        <v>163007</v>
      </c>
      <c r="H360" s="91"/>
    </row>
    <row r="361" spans="1:8" x14ac:dyDescent="0.25">
      <c r="A361" s="92" t="s">
        <v>26</v>
      </c>
      <c r="B361" s="92"/>
      <c r="C361" s="92"/>
      <c r="D361" s="92"/>
      <c r="E361" s="92"/>
      <c r="F361" s="92"/>
      <c r="G361" s="92"/>
      <c r="H361" s="92"/>
    </row>
    <row r="362" spans="1:8" x14ac:dyDescent="0.25">
      <c r="A362" s="93" t="s">
        <v>27</v>
      </c>
      <c r="B362" s="93"/>
      <c r="C362" s="93"/>
      <c r="D362" s="93"/>
      <c r="E362" s="93"/>
      <c r="F362" s="93"/>
      <c r="G362" s="93"/>
      <c r="H362" s="93"/>
    </row>
    <row r="363" spans="1:8" x14ac:dyDescent="0.25">
      <c r="A363" s="93" t="s">
        <v>28</v>
      </c>
      <c r="B363" s="93"/>
      <c r="C363" s="93"/>
      <c r="D363" s="93"/>
      <c r="E363" s="93"/>
      <c r="F363" s="93"/>
      <c r="G363" s="93"/>
      <c r="H363" s="93"/>
    </row>
    <row r="364" spans="1:8" x14ac:dyDescent="0.25">
      <c r="A364" s="1"/>
      <c r="B364" s="9"/>
      <c r="C364" s="9"/>
      <c r="D364" s="9"/>
      <c r="E364" s="9"/>
      <c r="F364" s="9"/>
      <c r="G364" s="9"/>
      <c r="H364" s="9"/>
    </row>
    <row r="365" spans="1:8" ht="15.75" x14ac:dyDescent="0.25">
      <c r="A365" s="5"/>
    </row>
    <row r="366" spans="1:8" x14ac:dyDescent="0.25">
      <c r="B366" s="13" t="s">
        <v>66</v>
      </c>
      <c r="C366" s="13">
        <v>99026</v>
      </c>
    </row>
    <row r="367" spans="1:8" x14ac:dyDescent="0.25">
      <c r="C367" s="10">
        <f>C366-B360</f>
        <v>-19450.320000000007</v>
      </c>
    </row>
    <row r="371" spans="1:9" x14ac:dyDescent="0.25">
      <c r="A371" s="17"/>
      <c r="B371" s="18"/>
      <c r="C371" s="18"/>
      <c r="D371" s="18"/>
      <c r="E371" s="112" t="s">
        <v>29</v>
      </c>
      <c r="F371" s="112"/>
      <c r="G371" s="112"/>
      <c r="H371" s="112"/>
    </row>
    <row r="372" spans="1:9" x14ac:dyDescent="0.25">
      <c r="A372" s="113"/>
      <c r="B372" s="114"/>
      <c r="C372" s="114"/>
      <c r="D372" s="115"/>
      <c r="E372" s="115" t="s">
        <v>0</v>
      </c>
      <c r="F372" s="115"/>
      <c r="G372" s="115"/>
      <c r="H372" s="115"/>
    </row>
    <row r="373" spans="1:9" x14ac:dyDescent="0.25">
      <c r="A373" s="113"/>
      <c r="B373" s="114"/>
      <c r="C373" s="114"/>
      <c r="D373" s="115"/>
      <c r="E373" s="115" t="s">
        <v>1</v>
      </c>
      <c r="F373" s="115"/>
      <c r="G373" s="115"/>
      <c r="H373" s="115"/>
    </row>
    <row r="374" spans="1:9" ht="15.75" thickBot="1" x14ac:dyDescent="0.3">
      <c r="A374" s="98" t="s">
        <v>65</v>
      </c>
      <c r="B374" s="98"/>
      <c r="C374" s="98"/>
      <c r="D374" s="98"/>
      <c r="E374" s="98"/>
      <c r="F374" s="98"/>
      <c r="G374" s="99"/>
      <c r="H374" s="99"/>
    </row>
    <row r="375" spans="1:9" ht="15.75" thickBot="1" x14ac:dyDescent="0.3">
      <c r="A375" s="100" t="s">
        <v>2</v>
      </c>
      <c r="B375" s="103" t="s">
        <v>30</v>
      </c>
      <c r="C375" s="104"/>
      <c r="D375" s="104"/>
      <c r="E375" s="104"/>
      <c r="F375" s="104"/>
      <c r="G375" s="105" t="s">
        <v>3</v>
      </c>
      <c r="H375" s="106"/>
    </row>
    <row r="376" spans="1:9" ht="105.75" thickBot="1" x14ac:dyDescent="0.3">
      <c r="A376" s="101"/>
      <c r="B376" s="96" t="s">
        <v>30</v>
      </c>
      <c r="C376" s="107"/>
      <c r="D376" s="20" t="s">
        <v>32</v>
      </c>
      <c r="E376" s="107" t="s">
        <v>4</v>
      </c>
      <c r="F376" s="97"/>
      <c r="G376" s="108"/>
      <c r="H376" s="109"/>
    </row>
    <row r="377" spans="1:9" ht="165.75" thickBot="1" x14ac:dyDescent="0.3">
      <c r="A377" s="102"/>
      <c r="B377" s="7" t="s">
        <v>36</v>
      </c>
      <c r="C377" s="7" t="s">
        <v>5</v>
      </c>
      <c r="D377" s="7" t="s">
        <v>33</v>
      </c>
      <c r="E377" s="7" t="s">
        <v>34</v>
      </c>
      <c r="F377" s="7" t="s">
        <v>35</v>
      </c>
      <c r="G377" s="110"/>
      <c r="H377" s="111"/>
    </row>
    <row r="378" spans="1:9" ht="15.75" thickBot="1" x14ac:dyDescent="0.3">
      <c r="A378" s="19">
        <v>1</v>
      </c>
      <c r="B378" s="7">
        <v>2</v>
      </c>
      <c r="C378" s="11">
        <v>3</v>
      </c>
      <c r="D378" s="7">
        <v>4</v>
      </c>
      <c r="E378" s="11">
        <v>5</v>
      </c>
      <c r="F378" s="7">
        <v>6</v>
      </c>
      <c r="G378" s="96" t="s">
        <v>37</v>
      </c>
      <c r="H378" s="97"/>
    </row>
    <row r="379" spans="1:9" ht="60.75" thickBot="1" x14ac:dyDescent="0.3">
      <c r="A379" s="2" t="s">
        <v>7</v>
      </c>
      <c r="B379" s="6">
        <f>B380</f>
        <v>90742.48</v>
      </c>
      <c r="C379" s="12"/>
      <c r="D379" s="6">
        <f>D380</f>
        <v>28655.520000000004</v>
      </c>
      <c r="E379" s="8" t="s">
        <v>8</v>
      </c>
      <c r="F379" s="8" t="s">
        <v>8</v>
      </c>
      <c r="G379" s="90">
        <f>122342-583+21+56</f>
        <v>121836</v>
      </c>
      <c r="H379" s="91"/>
    </row>
    <row r="380" spans="1:9" ht="15.75" thickBot="1" x14ac:dyDescent="0.3">
      <c r="A380" s="3" t="s">
        <v>9</v>
      </c>
      <c r="B380" s="6">
        <f>G380*76%</f>
        <v>90742.48</v>
      </c>
      <c r="C380" s="12"/>
      <c r="D380" s="21">
        <f t="shared" ref="D380:D385" si="10">G380-B380</f>
        <v>28655.520000000004</v>
      </c>
      <c r="E380" s="8" t="s">
        <v>8</v>
      </c>
      <c r="F380" s="8" t="s">
        <v>8</v>
      </c>
      <c r="G380" s="90">
        <f>G379-G381</f>
        <v>119398</v>
      </c>
      <c r="H380" s="91"/>
    </row>
    <row r="381" spans="1:9" ht="15.75" thickBot="1" x14ac:dyDescent="0.3">
      <c r="A381" s="2" t="s">
        <v>10</v>
      </c>
      <c r="B381" s="6">
        <f>G381*76%</f>
        <v>1852.88</v>
      </c>
      <c r="C381" s="12"/>
      <c r="D381" s="31">
        <f t="shared" si="10"/>
        <v>585.11999999999989</v>
      </c>
      <c r="E381" s="8" t="s">
        <v>8</v>
      </c>
      <c r="F381" s="8" t="s">
        <v>8</v>
      </c>
      <c r="G381" s="90">
        <v>2438</v>
      </c>
      <c r="H381" s="91"/>
    </row>
    <row r="382" spans="1:9" ht="60.75" thickBot="1" x14ac:dyDescent="0.3">
      <c r="A382" s="2" t="s">
        <v>11</v>
      </c>
      <c r="B382" s="6">
        <f>G382*76%</f>
        <v>28258.32</v>
      </c>
      <c r="C382" s="12"/>
      <c r="D382" s="21">
        <f t="shared" si="10"/>
        <v>8923.68</v>
      </c>
      <c r="E382" s="8" t="s">
        <v>8</v>
      </c>
      <c r="F382" s="8" t="s">
        <v>8</v>
      </c>
      <c r="G382" s="90">
        <f>37370-188</f>
        <v>37182</v>
      </c>
      <c r="H382" s="91"/>
    </row>
    <row r="383" spans="1:9" ht="30.75" thickBot="1" x14ac:dyDescent="0.3">
      <c r="A383" s="2" t="s">
        <v>12</v>
      </c>
      <c r="B383" s="6">
        <f>G383*76%</f>
        <v>585.96</v>
      </c>
      <c r="C383" s="12"/>
      <c r="D383" s="21">
        <f t="shared" si="10"/>
        <v>185.03999999999996</v>
      </c>
      <c r="E383" s="8" t="s">
        <v>8</v>
      </c>
      <c r="F383" s="8" t="s">
        <v>8</v>
      </c>
      <c r="G383" s="90">
        <f>188+583</f>
        <v>771</v>
      </c>
      <c r="H383" s="91"/>
      <c r="I383" s="10">
        <f>G379+G382+G383</f>
        <v>159789</v>
      </c>
    </row>
    <row r="384" spans="1:9" ht="15.75" thickBot="1" x14ac:dyDescent="0.3">
      <c r="A384" s="2" t="s">
        <v>13</v>
      </c>
      <c r="B384" s="6">
        <f>G384*56%</f>
        <v>0</v>
      </c>
      <c r="C384" s="6"/>
      <c r="D384" s="21">
        <f t="shared" si="10"/>
        <v>0</v>
      </c>
      <c r="E384" s="8" t="s">
        <v>8</v>
      </c>
      <c r="F384" s="8" t="s">
        <v>8</v>
      </c>
      <c r="G384" s="90">
        <v>0</v>
      </c>
      <c r="H384" s="91"/>
      <c r="I384">
        <f>29022+130767</f>
        <v>159789</v>
      </c>
    </row>
    <row r="385" spans="1:9" ht="30.75" thickBot="1" x14ac:dyDescent="0.3">
      <c r="A385" s="2" t="s">
        <v>14</v>
      </c>
      <c r="B385" s="6">
        <f>G385*56%</f>
        <v>5432.0000000000009</v>
      </c>
      <c r="C385" s="6"/>
      <c r="D385" s="21">
        <f t="shared" si="10"/>
        <v>4267.9999999999991</v>
      </c>
      <c r="E385" s="8" t="s">
        <v>8</v>
      </c>
      <c r="F385" s="8" t="s">
        <v>8</v>
      </c>
      <c r="G385" s="90">
        <v>9700</v>
      </c>
      <c r="H385" s="91"/>
      <c r="I385" s="10">
        <f>I383-I384</f>
        <v>0</v>
      </c>
    </row>
    <row r="386" spans="1:9" ht="45.75" thickBot="1" x14ac:dyDescent="0.3">
      <c r="A386" s="2" t="s">
        <v>15</v>
      </c>
      <c r="B386" s="8" t="s">
        <v>8</v>
      </c>
      <c r="C386" s="8" t="s">
        <v>8</v>
      </c>
      <c r="D386" s="6"/>
      <c r="E386" s="8" t="s">
        <v>8</v>
      </c>
      <c r="F386" s="8" t="s">
        <v>8</v>
      </c>
      <c r="G386" s="90"/>
      <c r="H386" s="91"/>
    </row>
    <row r="387" spans="1:9" ht="15.75" thickBot="1" x14ac:dyDescent="0.3">
      <c r="A387" s="2" t="s">
        <v>16</v>
      </c>
      <c r="B387" s="8" t="s">
        <v>8</v>
      </c>
      <c r="C387" s="8" t="s">
        <v>8</v>
      </c>
      <c r="D387" s="12"/>
      <c r="E387" s="6">
        <v>3750</v>
      </c>
      <c r="F387" s="6"/>
      <c r="G387" s="90">
        <v>3750</v>
      </c>
      <c r="H387" s="91"/>
    </row>
    <row r="388" spans="1:9" ht="15.75" thickBot="1" x14ac:dyDescent="0.3">
      <c r="A388" s="3" t="s">
        <v>17</v>
      </c>
      <c r="B388" s="6">
        <f>G388*56%</f>
        <v>0</v>
      </c>
      <c r="C388" s="8"/>
      <c r="D388" s="6"/>
      <c r="E388" s="6">
        <f>G388-B388</f>
        <v>0</v>
      </c>
      <c r="F388" s="6"/>
      <c r="G388" s="90">
        <v>0</v>
      </c>
      <c r="H388" s="91"/>
    </row>
    <row r="389" spans="1:9" ht="15.75" thickBot="1" x14ac:dyDescent="0.3">
      <c r="A389" s="3" t="s">
        <v>18</v>
      </c>
      <c r="B389" s="6"/>
      <c r="C389" s="8"/>
      <c r="D389" s="8"/>
      <c r="E389" s="6"/>
      <c r="F389" s="6"/>
      <c r="G389" s="90"/>
      <c r="H389" s="91"/>
    </row>
    <row r="390" spans="1:9" ht="45.75" thickBot="1" x14ac:dyDescent="0.3">
      <c r="A390" s="2" t="s">
        <v>19</v>
      </c>
      <c r="B390" s="6"/>
      <c r="C390" s="8"/>
      <c r="D390" s="6"/>
      <c r="E390" s="6"/>
      <c r="F390" s="6"/>
      <c r="G390" s="94"/>
      <c r="H390" s="95"/>
    </row>
    <row r="391" spans="1:9" ht="30.75" thickBot="1" x14ac:dyDescent="0.3">
      <c r="A391" s="2" t="s">
        <v>20</v>
      </c>
      <c r="B391" s="6">
        <f>G391*56%</f>
        <v>434.00000000000006</v>
      </c>
      <c r="C391" s="8"/>
      <c r="D391" s="6"/>
      <c r="E391" s="6">
        <f>G391-B391</f>
        <v>340.99999999999994</v>
      </c>
      <c r="F391" s="6"/>
      <c r="G391" s="90">
        <v>775</v>
      </c>
      <c r="H391" s="91"/>
    </row>
    <row r="392" spans="1:9" ht="30.75" thickBot="1" x14ac:dyDescent="0.3">
      <c r="A392" s="2" t="s">
        <v>21</v>
      </c>
      <c r="B392" s="6">
        <f>G392*56%</f>
        <v>4491.2000000000007</v>
      </c>
      <c r="C392" s="6"/>
      <c r="D392" s="21">
        <f>G392-B392</f>
        <v>3528.7999999999993</v>
      </c>
      <c r="E392" s="8" t="s">
        <v>8</v>
      </c>
      <c r="F392" s="8" t="s">
        <v>8</v>
      </c>
      <c r="G392" s="90">
        <f>11220-G387+550</f>
        <v>8020</v>
      </c>
      <c r="H392" s="91"/>
    </row>
    <row r="393" spans="1:9" ht="15.75" thickBot="1" x14ac:dyDescent="0.3">
      <c r="A393" s="3" t="s">
        <v>22</v>
      </c>
      <c r="B393" s="6">
        <f>G393*56%</f>
        <v>282.8</v>
      </c>
      <c r="C393" s="6"/>
      <c r="D393" s="21">
        <f>G393-B393</f>
        <v>222.2</v>
      </c>
      <c r="E393" s="8" t="s">
        <v>8</v>
      </c>
      <c r="F393" s="8" t="s">
        <v>8</v>
      </c>
      <c r="G393" s="90">
        <v>505</v>
      </c>
      <c r="H393" s="91"/>
    </row>
    <row r="394" spans="1:9" ht="15.75" thickBot="1" x14ac:dyDescent="0.3">
      <c r="A394" s="3" t="s">
        <v>23</v>
      </c>
      <c r="B394" s="8" t="s">
        <v>8</v>
      </c>
      <c r="C394" s="12"/>
      <c r="D394" s="8" t="s">
        <v>8</v>
      </c>
      <c r="E394" s="8" t="s">
        <v>8</v>
      </c>
      <c r="F394" s="8" t="s">
        <v>8</v>
      </c>
      <c r="G394" s="94"/>
      <c r="H394" s="95"/>
    </row>
    <row r="395" spans="1:9" ht="15.75" thickBot="1" x14ac:dyDescent="0.3">
      <c r="A395" s="3" t="s">
        <v>24</v>
      </c>
      <c r="B395" s="6">
        <f>G395*56%</f>
        <v>0</v>
      </c>
      <c r="C395" s="6"/>
      <c r="D395" s="6"/>
      <c r="E395" s="8" t="s">
        <v>8</v>
      </c>
      <c r="F395" s="8" t="s">
        <v>8</v>
      </c>
      <c r="G395" s="90"/>
      <c r="H395" s="91"/>
    </row>
    <row r="396" spans="1:9" ht="15.75" thickBot="1" x14ac:dyDescent="0.3">
      <c r="A396" s="4" t="s">
        <v>25</v>
      </c>
      <c r="B396" s="6">
        <f>SUM(B380:B395)</f>
        <v>132079.63999999998</v>
      </c>
      <c r="C396" s="6"/>
      <c r="D396" s="6">
        <f>SUM(D380:D395)</f>
        <v>46368.36</v>
      </c>
      <c r="E396" s="6">
        <f>SUM(E380:E395)</f>
        <v>4091</v>
      </c>
      <c r="F396" s="6"/>
      <c r="G396" s="90">
        <f>SUM(G380:H395)</f>
        <v>182539</v>
      </c>
      <c r="H396" s="91"/>
    </row>
    <row r="397" spans="1:9" x14ac:dyDescent="0.25">
      <c r="A397" s="92" t="s">
        <v>26</v>
      </c>
      <c r="B397" s="92"/>
      <c r="C397" s="92"/>
      <c r="D397" s="92"/>
      <c r="E397" s="92"/>
      <c r="F397" s="92"/>
      <c r="G397" s="92"/>
      <c r="H397" s="92"/>
    </row>
    <row r="398" spans="1:9" x14ac:dyDescent="0.25">
      <c r="A398" s="93" t="s">
        <v>27</v>
      </c>
      <c r="B398" s="93"/>
      <c r="C398" s="93"/>
      <c r="D398" s="93"/>
      <c r="E398" s="93"/>
      <c r="F398" s="93"/>
      <c r="G398" s="93"/>
      <c r="H398" s="93"/>
    </row>
    <row r="399" spans="1:9" x14ac:dyDescent="0.25">
      <c r="A399" s="93" t="s">
        <v>28</v>
      </c>
      <c r="B399" s="93"/>
      <c r="C399" s="93"/>
      <c r="D399" s="93"/>
      <c r="E399" s="93"/>
      <c r="F399" s="93"/>
      <c r="G399" s="93"/>
      <c r="H399" s="93"/>
    </row>
    <row r="400" spans="1:9" x14ac:dyDescent="0.25">
      <c r="A400" s="1"/>
      <c r="B400" s="9"/>
      <c r="C400" s="9"/>
      <c r="D400" s="9"/>
      <c r="E400" s="9"/>
      <c r="F400" s="9"/>
      <c r="G400" s="9"/>
      <c r="H400" s="9"/>
    </row>
    <row r="401" spans="1:8" ht="15.75" x14ac:dyDescent="0.25">
      <c r="A401" s="5"/>
    </row>
    <row r="402" spans="1:8" x14ac:dyDescent="0.25">
      <c r="B402" s="13" t="s">
        <v>67</v>
      </c>
      <c r="C402" s="13">
        <v>108918</v>
      </c>
    </row>
    <row r="403" spans="1:8" x14ac:dyDescent="0.25">
      <c r="C403" s="10">
        <f>C402-B396</f>
        <v>-23161.639999999985</v>
      </c>
    </row>
    <row r="410" spans="1:8" x14ac:dyDescent="0.25">
      <c r="A410" s="17"/>
      <c r="B410" s="18"/>
      <c r="C410" s="18"/>
      <c r="D410" s="18"/>
      <c r="E410" s="112" t="s">
        <v>29</v>
      </c>
      <c r="F410" s="112"/>
      <c r="G410" s="112"/>
      <c r="H410" s="112"/>
    </row>
    <row r="411" spans="1:8" x14ac:dyDescent="0.25">
      <c r="A411" s="113"/>
      <c r="B411" s="114"/>
      <c r="C411" s="114"/>
      <c r="D411" s="115"/>
      <c r="E411" s="115" t="s">
        <v>0</v>
      </c>
      <c r="F411" s="115"/>
      <c r="G411" s="115"/>
      <c r="H411" s="115"/>
    </row>
    <row r="412" spans="1:8" x14ac:dyDescent="0.25">
      <c r="A412" s="113"/>
      <c r="B412" s="114"/>
      <c r="C412" s="114"/>
      <c r="D412" s="115"/>
      <c r="E412" s="115" t="s">
        <v>1</v>
      </c>
      <c r="F412" s="115"/>
      <c r="G412" s="115"/>
      <c r="H412" s="115"/>
    </row>
    <row r="413" spans="1:8" ht="15.75" thickBot="1" x14ac:dyDescent="0.3">
      <c r="A413" s="98" t="s">
        <v>49</v>
      </c>
      <c r="B413" s="98"/>
      <c r="C413" s="98"/>
      <c r="D413" s="98"/>
      <c r="E413" s="98"/>
      <c r="F413" s="98"/>
      <c r="G413" s="99"/>
      <c r="H413" s="99"/>
    </row>
    <row r="414" spans="1:8" ht="15.75" thickBot="1" x14ac:dyDescent="0.3">
      <c r="A414" s="100" t="s">
        <v>2</v>
      </c>
      <c r="B414" s="103" t="s">
        <v>30</v>
      </c>
      <c r="C414" s="104"/>
      <c r="D414" s="104"/>
      <c r="E414" s="104"/>
      <c r="F414" s="104"/>
      <c r="G414" s="105" t="s">
        <v>3</v>
      </c>
      <c r="H414" s="106"/>
    </row>
    <row r="415" spans="1:8" ht="105.75" thickBot="1" x14ac:dyDescent="0.3">
      <c r="A415" s="101"/>
      <c r="B415" s="96" t="s">
        <v>30</v>
      </c>
      <c r="C415" s="107"/>
      <c r="D415" s="20" t="s">
        <v>32</v>
      </c>
      <c r="E415" s="107" t="s">
        <v>4</v>
      </c>
      <c r="F415" s="97"/>
      <c r="G415" s="108"/>
      <c r="H415" s="109"/>
    </row>
    <row r="416" spans="1:8" ht="165.75" thickBot="1" x14ac:dyDescent="0.3">
      <c r="A416" s="102"/>
      <c r="B416" s="7" t="s">
        <v>36</v>
      </c>
      <c r="C416" s="7" t="s">
        <v>5</v>
      </c>
      <c r="D416" s="7" t="s">
        <v>33</v>
      </c>
      <c r="E416" s="7" t="s">
        <v>34</v>
      </c>
      <c r="F416" s="7" t="s">
        <v>35</v>
      </c>
      <c r="G416" s="110"/>
      <c r="H416" s="111"/>
    </row>
    <row r="417" spans="1:9" ht="15.75" thickBot="1" x14ac:dyDescent="0.3">
      <c r="A417" s="19">
        <v>1</v>
      </c>
      <c r="B417" s="7">
        <v>2</v>
      </c>
      <c r="C417" s="11">
        <v>3</v>
      </c>
      <c r="D417" s="7">
        <v>4</v>
      </c>
      <c r="E417" s="11">
        <v>5</v>
      </c>
      <c r="F417" s="7">
        <v>6</v>
      </c>
      <c r="G417" s="96" t="s">
        <v>37</v>
      </c>
      <c r="H417" s="97"/>
    </row>
    <row r="418" spans="1:9" ht="60.75" thickBot="1" x14ac:dyDescent="0.3">
      <c r="A418" s="2" t="s">
        <v>7</v>
      </c>
      <c r="B418" s="6">
        <f>B419</f>
        <v>101536</v>
      </c>
      <c r="C418" s="12"/>
      <c r="D418" s="6">
        <f>D419</f>
        <v>32064</v>
      </c>
      <c r="E418" s="8" t="s">
        <v>8</v>
      </c>
      <c r="F418" s="8" t="s">
        <v>8</v>
      </c>
      <c r="G418" s="90">
        <f>136404-650+284</f>
        <v>136038</v>
      </c>
      <c r="H418" s="91"/>
    </row>
    <row r="419" spans="1:9" ht="15.75" thickBot="1" x14ac:dyDescent="0.3">
      <c r="A419" s="3" t="s">
        <v>9</v>
      </c>
      <c r="B419" s="6">
        <f>G419*76%</f>
        <v>101536</v>
      </c>
      <c r="C419" s="12"/>
      <c r="D419" s="21">
        <f t="shared" ref="D419:D424" si="11">G419-B419</f>
        <v>32064</v>
      </c>
      <c r="E419" s="8" t="s">
        <v>8</v>
      </c>
      <c r="F419" s="8" t="s">
        <v>8</v>
      </c>
      <c r="G419" s="90">
        <f>G418-G420</f>
        <v>133600</v>
      </c>
      <c r="H419" s="91"/>
    </row>
    <row r="420" spans="1:9" ht="15.75" thickBot="1" x14ac:dyDescent="0.3">
      <c r="A420" s="2" t="s">
        <v>10</v>
      </c>
      <c r="B420" s="6">
        <f>G420*76%</f>
        <v>1852.88</v>
      </c>
      <c r="C420" s="12"/>
      <c r="D420" s="31">
        <f t="shared" si="11"/>
        <v>585.11999999999989</v>
      </c>
      <c r="E420" s="8" t="s">
        <v>8</v>
      </c>
      <c r="F420" s="8" t="s">
        <v>8</v>
      </c>
      <c r="G420" s="90">
        <v>2438</v>
      </c>
      <c r="H420" s="91"/>
      <c r="I420">
        <f>145707+32421</f>
        <v>178128</v>
      </c>
    </row>
    <row r="421" spans="1:9" ht="60.75" thickBot="1" x14ac:dyDescent="0.3">
      <c r="A421" s="2" t="s">
        <v>11</v>
      </c>
      <c r="B421" s="6">
        <f>G421*76%</f>
        <v>31342.400000000001</v>
      </c>
      <c r="C421" s="12"/>
      <c r="D421" s="21">
        <f t="shared" si="11"/>
        <v>9897.5999999999985</v>
      </c>
      <c r="E421" s="8" t="s">
        <v>8</v>
      </c>
      <c r="F421" s="8" t="s">
        <v>8</v>
      </c>
      <c r="G421" s="90">
        <f>41440-200</f>
        <v>41240</v>
      </c>
      <c r="H421" s="91"/>
      <c r="I421">
        <v>178128</v>
      </c>
    </row>
    <row r="422" spans="1:9" ht="30.75" thickBot="1" x14ac:dyDescent="0.3">
      <c r="A422" s="2" t="s">
        <v>12</v>
      </c>
      <c r="B422" s="6">
        <f>G422*76%</f>
        <v>646</v>
      </c>
      <c r="C422" s="12"/>
      <c r="D422" s="21">
        <f t="shared" si="11"/>
        <v>204</v>
      </c>
      <c r="E422" s="8" t="s">
        <v>8</v>
      </c>
      <c r="F422" s="8" t="s">
        <v>8</v>
      </c>
      <c r="G422" s="90">
        <f>650+200</f>
        <v>850</v>
      </c>
      <c r="H422" s="91"/>
      <c r="I422" s="10">
        <f>G418+G421+G422</f>
        <v>178128</v>
      </c>
    </row>
    <row r="423" spans="1:9" ht="15.75" thickBot="1" x14ac:dyDescent="0.3">
      <c r="A423" s="2" t="s">
        <v>13</v>
      </c>
      <c r="B423" s="6">
        <f>G423*56%</f>
        <v>0</v>
      </c>
      <c r="C423" s="6"/>
      <c r="D423" s="21">
        <f t="shared" si="11"/>
        <v>0</v>
      </c>
      <c r="E423" s="8" t="s">
        <v>8</v>
      </c>
      <c r="F423" s="8" t="s">
        <v>8</v>
      </c>
      <c r="G423" s="90">
        <v>0</v>
      </c>
      <c r="H423" s="91"/>
      <c r="I423" s="10">
        <f>I421-I422</f>
        <v>0</v>
      </c>
    </row>
    <row r="424" spans="1:9" ht="30.75" thickBot="1" x14ac:dyDescent="0.3">
      <c r="A424" s="2" t="s">
        <v>14</v>
      </c>
      <c r="B424" s="6">
        <f>G424*56%</f>
        <v>5439.2800000000007</v>
      </c>
      <c r="C424" s="6"/>
      <c r="D424" s="21">
        <f t="shared" si="11"/>
        <v>4273.7199999999993</v>
      </c>
      <c r="E424" s="8" t="s">
        <v>8</v>
      </c>
      <c r="F424" s="8" t="s">
        <v>8</v>
      </c>
      <c r="G424" s="90">
        <v>9713</v>
      </c>
      <c r="H424" s="91"/>
    </row>
    <row r="425" spans="1:9" ht="45.75" thickBot="1" x14ac:dyDescent="0.3">
      <c r="A425" s="2" t="s">
        <v>15</v>
      </c>
      <c r="B425" s="8" t="s">
        <v>8</v>
      </c>
      <c r="C425" s="8" t="s">
        <v>8</v>
      </c>
      <c r="D425" s="6"/>
      <c r="E425" s="8" t="s">
        <v>8</v>
      </c>
      <c r="F425" s="8" t="s">
        <v>8</v>
      </c>
      <c r="G425" s="90"/>
      <c r="H425" s="91"/>
    </row>
    <row r="426" spans="1:9" ht="15.75" thickBot="1" x14ac:dyDescent="0.3">
      <c r="A426" s="2" t="s">
        <v>16</v>
      </c>
      <c r="B426" s="8" t="s">
        <v>8</v>
      </c>
      <c r="C426" s="8" t="s">
        <v>8</v>
      </c>
      <c r="D426" s="12"/>
      <c r="E426" s="6">
        <v>5250</v>
      </c>
      <c r="F426" s="6"/>
      <c r="G426" s="90">
        <v>5250</v>
      </c>
      <c r="H426" s="91"/>
    </row>
    <row r="427" spans="1:9" ht="15.75" thickBot="1" x14ac:dyDescent="0.3">
      <c r="A427" s="3" t="s">
        <v>17</v>
      </c>
      <c r="B427" s="6">
        <f>G427*56%</f>
        <v>0</v>
      </c>
      <c r="C427" s="8"/>
      <c r="D427" s="6"/>
      <c r="E427" s="6">
        <f>G427-B427</f>
        <v>0</v>
      </c>
      <c r="F427" s="6"/>
      <c r="G427" s="90">
        <v>0</v>
      </c>
      <c r="H427" s="91"/>
    </row>
    <row r="428" spans="1:9" ht="15.75" thickBot="1" x14ac:dyDescent="0.3">
      <c r="A428" s="3" t="s">
        <v>18</v>
      </c>
      <c r="B428" s="6"/>
      <c r="C428" s="8"/>
      <c r="D428" s="8"/>
      <c r="E428" s="6"/>
      <c r="F428" s="6"/>
      <c r="G428" s="90"/>
      <c r="H428" s="91"/>
    </row>
    <row r="429" spans="1:9" ht="45.75" thickBot="1" x14ac:dyDescent="0.3">
      <c r="A429" s="2" t="s">
        <v>19</v>
      </c>
      <c r="B429" s="6"/>
      <c r="C429" s="8"/>
      <c r="D429" s="6"/>
      <c r="E429" s="6"/>
      <c r="F429" s="6"/>
      <c r="G429" s="94"/>
      <c r="H429" s="95"/>
    </row>
    <row r="430" spans="1:9" ht="30.75" thickBot="1" x14ac:dyDescent="0.3">
      <c r="A430" s="2" t="s">
        <v>20</v>
      </c>
      <c r="B430" s="6">
        <f>G430*56%</f>
        <v>440.16</v>
      </c>
      <c r="C430" s="8"/>
      <c r="D430" s="6"/>
      <c r="E430" s="6">
        <f>G430-B430</f>
        <v>345.84</v>
      </c>
      <c r="F430" s="6"/>
      <c r="G430" s="90">
        <v>786</v>
      </c>
      <c r="H430" s="91"/>
    </row>
    <row r="431" spans="1:9" ht="30.75" thickBot="1" x14ac:dyDescent="0.3">
      <c r="A431" s="2" t="s">
        <v>21</v>
      </c>
      <c r="B431" s="6">
        <f>G431*56%</f>
        <v>5337.92</v>
      </c>
      <c r="C431" s="6"/>
      <c r="D431" s="21">
        <f>G431-B431</f>
        <v>4194.08</v>
      </c>
      <c r="E431" s="8" t="s">
        <v>8</v>
      </c>
      <c r="F431" s="8" t="s">
        <v>8</v>
      </c>
      <c r="G431" s="90">
        <f>14179-G426+550+53</f>
        <v>9532</v>
      </c>
      <c r="H431" s="91"/>
    </row>
    <row r="432" spans="1:9" ht="15.75" thickBot="1" x14ac:dyDescent="0.3">
      <c r="A432" s="3" t="s">
        <v>22</v>
      </c>
      <c r="B432" s="6">
        <f>G432*56%</f>
        <v>313.04000000000002</v>
      </c>
      <c r="C432" s="6"/>
      <c r="D432" s="21">
        <f>G432-B432</f>
        <v>245.95999999999998</v>
      </c>
      <c r="E432" s="8" t="s">
        <v>8</v>
      </c>
      <c r="F432" s="8" t="s">
        <v>8</v>
      </c>
      <c r="G432" s="90">
        <f>13+546</f>
        <v>559</v>
      </c>
      <c r="H432" s="91"/>
    </row>
    <row r="433" spans="1:8" ht="15.75" thickBot="1" x14ac:dyDescent="0.3">
      <c r="A433" s="3" t="s">
        <v>23</v>
      </c>
      <c r="B433" s="8" t="s">
        <v>8</v>
      </c>
      <c r="C433" s="12"/>
      <c r="D433" s="8" t="s">
        <v>8</v>
      </c>
      <c r="E433" s="8" t="s">
        <v>8</v>
      </c>
      <c r="F433" s="8" t="s">
        <v>8</v>
      </c>
      <c r="G433" s="94"/>
      <c r="H433" s="95"/>
    </row>
    <row r="434" spans="1:8" ht="15.75" thickBot="1" x14ac:dyDescent="0.3">
      <c r="A434" s="3" t="s">
        <v>24</v>
      </c>
      <c r="B434" s="6">
        <f>G434*56%</f>
        <v>0</v>
      </c>
      <c r="C434" s="6"/>
      <c r="D434" s="6"/>
      <c r="E434" s="8" t="s">
        <v>8</v>
      </c>
      <c r="F434" s="8" t="s">
        <v>8</v>
      </c>
      <c r="G434" s="90"/>
      <c r="H434" s="91"/>
    </row>
    <row r="435" spans="1:8" ht="15.75" thickBot="1" x14ac:dyDescent="0.3">
      <c r="A435" s="4" t="s">
        <v>25</v>
      </c>
      <c r="B435" s="6">
        <f>SUM(B419:B434)</f>
        <v>146907.68000000002</v>
      </c>
      <c r="C435" s="6"/>
      <c r="D435" s="6">
        <f>SUM(D419:D434)</f>
        <v>51464.480000000003</v>
      </c>
      <c r="E435" s="6">
        <f>SUM(E419:E434)</f>
        <v>5595.84</v>
      </c>
      <c r="F435" s="6"/>
      <c r="G435" s="90">
        <f>SUM(G419:H434)</f>
        <v>203968</v>
      </c>
      <c r="H435" s="91"/>
    </row>
    <row r="436" spans="1:8" x14ac:dyDescent="0.25">
      <c r="A436" s="92" t="s">
        <v>26</v>
      </c>
      <c r="B436" s="92"/>
      <c r="C436" s="92"/>
      <c r="D436" s="92"/>
      <c r="E436" s="92"/>
      <c r="F436" s="92"/>
      <c r="G436" s="92"/>
      <c r="H436" s="92"/>
    </row>
    <row r="437" spans="1:8" x14ac:dyDescent="0.25">
      <c r="A437" s="93" t="s">
        <v>27</v>
      </c>
      <c r="B437" s="93"/>
      <c r="C437" s="93"/>
      <c r="D437" s="93"/>
      <c r="E437" s="93"/>
      <c r="F437" s="93"/>
      <c r="G437" s="93"/>
      <c r="H437" s="93"/>
    </row>
    <row r="438" spans="1:8" x14ac:dyDescent="0.25">
      <c r="A438" s="93" t="s">
        <v>28</v>
      </c>
      <c r="B438" s="93"/>
      <c r="C438" s="93"/>
      <c r="D438" s="93"/>
      <c r="E438" s="93"/>
      <c r="F438" s="93"/>
      <c r="G438" s="93"/>
      <c r="H438" s="93"/>
    </row>
    <row r="439" spans="1:8" x14ac:dyDescent="0.25">
      <c r="A439" s="1"/>
      <c r="B439" s="9"/>
      <c r="C439" s="9"/>
      <c r="D439" s="9"/>
      <c r="E439" s="9"/>
      <c r="F439" s="9"/>
      <c r="G439" s="9"/>
      <c r="H439" s="9"/>
    </row>
    <row r="440" spans="1:8" ht="15.75" x14ac:dyDescent="0.25">
      <c r="A440" s="5"/>
    </row>
    <row r="441" spans="1:8" x14ac:dyDescent="0.25">
      <c r="B441" s="13" t="s">
        <v>50</v>
      </c>
      <c r="C441" s="13">
        <v>122244</v>
      </c>
    </row>
    <row r="442" spans="1:8" x14ac:dyDescent="0.25">
      <c r="C442" s="10">
        <f>C441-B435</f>
        <v>-24663.680000000022</v>
      </c>
    </row>
  </sheetData>
  <mergeCells count="444">
    <mergeCell ref="E3:H3"/>
    <mergeCell ref="A4:A5"/>
    <mergeCell ref="B4:B5"/>
    <mergeCell ref="C4:C5"/>
    <mergeCell ref="D4:D5"/>
    <mergeCell ref="E4:H4"/>
    <mergeCell ref="G10:H10"/>
    <mergeCell ref="G11:H11"/>
    <mergeCell ref="G12:H12"/>
    <mergeCell ref="G13:H13"/>
    <mergeCell ref="G14:H14"/>
    <mergeCell ref="G15:H15"/>
    <mergeCell ref="E5:H5"/>
    <mergeCell ref="A6:H6"/>
    <mergeCell ref="A7:A9"/>
    <mergeCell ref="B7:F7"/>
    <mergeCell ref="G7:H7"/>
    <mergeCell ref="B8:C8"/>
    <mergeCell ref="E8:F8"/>
    <mergeCell ref="G8:H8"/>
    <mergeCell ref="G9:H9"/>
    <mergeCell ref="G22:H22"/>
    <mergeCell ref="G23:H23"/>
    <mergeCell ref="G24:H24"/>
    <mergeCell ref="G25:H25"/>
    <mergeCell ref="G26:H26"/>
    <mergeCell ref="G27:H27"/>
    <mergeCell ref="G16:H16"/>
    <mergeCell ref="G17:H17"/>
    <mergeCell ref="G18:H18"/>
    <mergeCell ref="G19:H19"/>
    <mergeCell ref="G20:H20"/>
    <mergeCell ref="G21:H21"/>
    <mergeCell ref="G28:H28"/>
    <mergeCell ref="A29:H29"/>
    <mergeCell ref="A30:H30"/>
    <mergeCell ref="A31:H31"/>
    <mergeCell ref="E42:H42"/>
    <mergeCell ref="A43:A44"/>
    <mergeCell ref="B43:B44"/>
    <mergeCell ref="C43:C44"/>
    <mergeCell ref="D43:D44"/>
    <mergeCell ref="E43:H43"/>
    <mergeCell ref="G49:H49"/>
    <mergeCell ref="G50:H50"/>
    <mergeCell ref="G51:H51"/>
    <mergeCell ref="G52:H52"/>
    <mergeCell ref="G53:H53"/>
    <mergeCell ref="G54:H54"/>
    <mergeCell ref="E44:H44"/>
    <mergeCell ref="A45:H45"/>
    <mergeCell ref="A46:A48"/>
    <mergeCell ref="B46:F46"/>
    <mergeCell ref="G46:H46"/>
    <mergeCell ref="B47:C47"/>
    <mergeCell ref="E47:F47"/>
    <mergeCell ref="G47:H47"/>
    <mergeCell ref="G48:H48"/>
    <mergeCell ref="G61:H61"/>
    <mergeCell ref="G62:H62"/>
    <mergeCell ref="G63:H63"/>
    <mergeCell ref="G64:H64"/>
    <mergeCell ref="G65:H65"/>
    <mergeCell ref="G66:H66"/>
    <mergeCell ref="G55:H55"/>
    <mergeCell ref="G56:H56"/>
    <mergeCell ref="G57:H57"/>
    <mergeCell ref="G58:H58"/>
    <mergeCell ref="G59:H59"/>
    <mergeCell ref="G60:H60"/>
    <mergeCell ref="G67:H67"/>
    <mergeCell ref="A68:H68"/>
    <mergeCell ref="A69:H69"/>
    <mergeCell ref="A70:H70"/>
    <mergeCell ref="E78:H78"/>
    <mergeCell ref="A79:A80"/>
    <mergeCell ref="B79:B80"/>
    <mergeCell ref="C79:C80"/>
    <mergeCell ref="D79:D80"/>
    <mergeCell ref="E79:H79"/>
    <mergeCell ref="G85:H85"/>
    <mergeCell ref="G86:H86"/>
    <mergeCell ref="G87:H87"/>
    <mergeCell ref="G88:H88"/>
    <mergeCell ref="G89:H89"/>
    <mergeCell ref="G90:H90"/>
    <mergeCell ref="E80:H80"/>
    <mergeCell ref="A81:H81"/>
    <mergeCell ref="A82:A84"/>
    <mergeCell ref="B82:F82"/>
    <mergeCell ref="G82:H82"/>
    <mergeCell ref="B83:C83"/>
    <mergeCell ref="E83:F83"/>
    <mergeCell ref="G83:H83"/>
    <mergeCell ref="G84:H84"/>
    <mergeCell ref="G97:H97"/>
    <mergeCell ref="G98:H98"/>
    <mergeCell ref="G99:H99"/>
    <mergeCell ref="G100:H100"/>
    <mergeCell ref="G101:H101"/>
    <mergeCell ref="G102:H102"/>
    <mergeCell ref="G91:H91"/>
    <mergeCell ref="G92:H92"/>
    <mergeCell ref="G93:H93"/>
    <mergeCell ref="G94:H94"/>
    <mergeCell ref="G95:H95"/>
    <mergeCell ref="G96:H96"/>
    <mergeCell ref="G103:H103"/>
    <mergeCell ref="A104:H104"/>
    <mergeCell ref="A105:H105"/>
    <mergeCell ref="A106:H106"/>
    <mergeCell ref="E117:H117"/>
    <mergeCell ref="A118:A119"/>
    <mergeCell ref="B118:B119"/>
    <mergeCell ref="C118:C119"/>
    <mergeCell ref="D118:D119"/>
    <mergeCell ref="E118:H118"/>
    <mergeCell ref="G124:H124"/>
    <mergeCell ref="G125:H125"/>
    <mergeCell ref="G126:H126"/>
    <mergeCell ref="G127:H127"/>
    <mergeCell ref="G128:H128"/>
    <mergeCell ref="G129:H129"/>
    <mergeCell ref="E119:H119"/>
    <mergeCell ref="A120:H120"/>
    <mergeCell ref="A121:A123"/>
    <mergeCell ref="B121:F121"/>
    <mergeCell ref="G121:H121"/>
    <mergeCell ref="B122:C122"/>
    <mergeCell ref="E122:F122"/>
    <mergeCell ref="G122:H122"/>
    <mergeCell ref="G123:H123"/>
    <mergeCell ref="G136:H136"/>
    <mergeCell ref="G137:H137"/>
    <mergeCell ref="G138:H138"/>
    <mergeCell ref="G139:H139"/>
    <mergeCell ref="G140:H140"/>
    <mergeCell ref="G141:H141"/>
    <mergeCell ref="G130:H130"/>
    <mergeCell ref="G131:H131"/>
    <mergeCell ref="G132:H132"/>
    <mergeCell ref="G133:H133"/>
    <mergeCell ref="G134:H134"/>
    <mergeCell ref="G135:H135"/>
    <mergeCell ref="G142:H142"/>
    <mergeCell ref="A143:H143"/>
    <mergeCell ref="A144:H144"/>
    <mergeCell ref="A145:H145"/>
    <mergeCell ref="E156:H156"/>
    <mergeCell ref="A157:A158"/>
    <mergeCell ref="B157:B158"/>
    <mergeCell ref="C157:C158"/>
    <mergeCell ref="D157:D158"/>
    <mergeCell ref="E157:H157"/>
    <mergeCell ref="G163:H163"/>
    <mergeCell ref="G164:H164"/>
    <mergeCell ref="G165:H165"/>
    <mergeCell ref="G166:H166"/>
    <mergeCell ref="G167:H167"/>
    <mergeCell ref="G168:H168"/>
    <mergeCell ref="E158:H158"/>
    <mergeCell ref="A159:H159"/>
    <mergeCell ref="A160:A162"/>
    <mergeCell ref="B160:F160"/>
    <mergeCell ref="G160:H160"/>
    <mergeCell ref="B161:C161"/>
    <mergeCell ref="E161:F161"/>
    <mergeCell ref="G161:H161"/>
    <mergeCell ref="G162:H162"/>
    <mergeCell ref="G175:H175"/>
    <mergeCell ref="G176:H176"/>
    <mergeCell ref="G177:H177"/>
    <mergeCell ref="G178:H178"/>
    <mergeCell ref="G179:H179"/>
    <mergeCell ref="G180:H180"/>
    <mergeCell ref="G169:H169"/>
    <mergeCell ref="G170:H170"/>
    <mergeCell ref="G171:H171"/>
    <mergeCell ref="G172:H172"/>
    <mergeCell ref="G173:H173"/>
    <mergeCell ref="G174:H174"/>
    <mergeCell ref="G181:H181"/>
    <mergeCell ref="A182:H182"/>
    <mergeCell ref="A183:H183"/>
    <mergeCell ref="A184:H184"/>
    <mergeCell ref="E196:H196"/>
    <mergeCell ref="A197:A198"/>
    <mergeCell ref="B197:B198"/>
    <mergeCell ref="C197:C198"/>
    <mergeCell ref="D197:D198"/>
    <mergeCell ref="E197:H197"/>
    <mergeCell ref="G203:H203"/>
    <mergeCell ref="G204:H204"/>
    <mergeCell ref="G205:H205"/>
    <mergeCell ref="G206:H206"/>
    <mergeCell ref="G207:H207"/>
    <mergeCell ref="G208:H208"/>
    <mergeCell ref="E198:H198"/>
    <mergeCell ref="A199:H199"/>
    <mergeCell ref="A200:A202"/>
    <mergeCell ref="B200:F200"/>
    <mergeCell ref="G200:H200"/>
    <mergeCell ref="B201:C201"/>
    <mergeCell ref="E201:F201"/>
    <mergeCell ref="G201:H201"/>
    <mergeCell ref="G202:H202"/>
    <mergeCell ref="G215:H215"/>
    <mergeCell ref="G216:H216"/>
    <mergeCell ref="G217:H217"/>
    <mergeCell ref="G218:H218"/>
    <mergeCell ref="G219:H219"/>
    <mergeCell ref="G220:H220"/>
    <mergeCell ref="G209:H209"/>
    <mergeCell ref="G210:H210"/>
    <mergeCell ref="G211:H211"/>
    <mergeCell ref="G212:H212"/>
    <mergeCell ref="G213:H213"/>
    <mergeCell ref="G214:H214"/>
    <mergeCell ref="G221:H221"/>
    <mergeCell ref="A222:H222"/>
    <mergeCell ref="A223:H223"/>
    <mergeCell ref="A224:H224"/>
    <mergeCell ref="E301:H301"/>
    <mergeCell ref="A302:A303"/>
    <mergeCell ref="B302:B303"/>
    <mergeCell ref="C302:C303"/>
    <mergeCell ref="D302:D303"/>
    <mergeCell ref="E302:H302"/>
    <mergeCell ref="G237:H237"/>
    <mergeCell ref="G238:H238"/>
    <mergeCell ref="G239:H239"/>
    <mergeCell ref="G240:H240"/>
    <mergeCell ref="G241:H241"/>
    <mergeCell ref="G242:H242"/>
    <mergeCell ref="E232:H232"/>
    <mergeCell ref="A233:H233"/>
    <mergeCell ref="A234:A236"/>
    <mergeCell ref="B234:F234"/>
    <mergeCell ref="G234:H234"/>
    <mergeCell ref="B235:C235"/>
    <mergeCell ref="E235:F235"/>
    <mergeCell ref="G235:H235"/>
    <mergeCell ref="G312:H312"/>
    <mergeCell ref="G313:H313"/>
    <mergeCell ref="E303:H303"/>
    <mergeCell ref="A304:H304"/>
    <mergeCell ref="A305:A307"/>
    <mergeCell ref="B305:F305"/>
    <mergeCell ref="G305:H305"/>
    <mergeCell ref="B306:C306"/>
    <mergeCell ref="E306:F306"/>
    <mergeCell ref="G306:H306"/>
    <mergeCell ref="G307:H307"/>
    <mergeCell ref="E410:H410"/>
    <mergeCell ref="A411:A412"/>
    <mergeCell ref="B411:B412"/>
    <mergeCell ref="C411:C412"/>
    <mergeCell ref="D411:D412"/>
    <mergeCell ref="E411:H411"/>
    <mergeCell ref="G320:H320"/>
    <mergeCell ref="G321:H321"/>
    <mergeCell ref="G322:H322"/>
    <mergeCell ref="G323:H323"/>
    <mergeCell ref="G324:H324"/>
    <mergeCell ref="G325:H325"/>
    <mergeCell ref="G342:H342"/>
    <mergeCell ref="G343:H343"/>
    <mergeCell ref="G344:H344"/>
    <mergeCell ref="G345:H345"/>
    <mergeCell ref="G346:H346"/>
    <mergeCell ref="G347:H347"/>
    <mergeCell ref="E337:H337"/>
    <mergeCell ref="A338:H338"/>
    <mergeCell ref="A339:A341"/>
    <mergeCell ref="B339:F339"/>
    <mergeCell ref="G339:H339"/>
    <mergeCell ref="B340:C340"/>
    <mergeCell ref="G419:H419"/>
    <mergeCell ref="G420:H420"/>
    <mergeCell ref="G421:H421"/>
    <mergeCell ref="G422:H422"/>
    <mergeCell ref="E412:H412"/>
    <mergeCell ref="A413:H413"/>
    <mergeCell ref="A414:A416"/>
    <mergeCell ref="B414:F414"/>
    <mergeCell ref="G414:H414"/>
    <mergeCell ref="B415:C415"/>
    <mergeCell ref="E415:F415"/>
    <mergeCell ref="G415:H415"/>
    <mergeCell ref="G416:H416"/>
    <mergeCell ref="G435:H435"/>
    <mergeCell ref="A436:H436"/>
    <mergeCell ref="A437:H437"/>
    <mergeCell ref="A438:H438"/>
    <mergeCell ref="E230:H230"/>
    <mergeCell ref="A231:A232"/>
    <mergeCell ref="B231:B232"/>
    <mergeCell ref="C231:C232"/>
    <mergeCell ref="D231:D232"/>
    <mergeCell ref="E231:H231"/>
    <mergeCell ref="G429:H429"/>
    <mergeCell ref="G430:H430"/>
    <mergeCell ref="G431:H431"/>
    <mergeCell ref="G432:H432"/>
    <mergeCell ref="G433:H433"/>
    <mergeCell ref="G434:H434"/>
    <mergeCell ref="G423:H423"/>
    <mergeCell ref="G424:H424"/>
    <mergeCell ref="G425:H425"/>
    <mergeCell ref="G426:H426"/>
    <mergeCell ref="G427:H427"/>
    <mergeCell ref="G428:H428"/>
    <mergeCell ref="G417:H417"/>
    <mergeCell ref="G418:H418"/>
    <mergeCell ref="G236:H236"/>
    <mergeCell ref="G249:H249"/>
    <mergeCell ref="G250:H250"/>
    <mergeCell ref="G251:H251"/>
    <mergeCell ref="G252:H252"/>
    <mergeCell ref="G253:H253"/>
    <mergeCell ref="G254:H254"/>
    <mergeCell ref="G243:H243"/>
    <mergeCell ref="G244:H244"/>
    <mergeCell ref="G245:H245"/>
    <mergeCell ref="G246:H246"/>
    <mergeCell ref="G247:H247"/>
    <mergeCell ref="G248:H248"/>
    <mergeCell ref="G255:H255"/>
    <mergeCell ref="A256:H256"/>
    <mergeCell ref="A257:H257"/>
    <mergeCell ref="A258:H258"/>
    <mergeCell ref="E265:H265"/>
    <mergeCell ref="A266:A267"/>
    <mergeCell ref="B266:B267"/>
    <mergeCell ref="C266:C267"/>
    <mergeCell ref="D266:D267"/>
    <mergeCell ref="E266:H266"/>
    <mergeCell ref="G272:H272"/>
    <mergeCell ref="G273:H273"/>
    <mergeCell ref="G274:H274"/>
    <mergeCell ref="G275:H275"/>
    <mergeCell ref="G276:H276"/>
    <mergeCell ref="G277:H277"/>
    <mergeCell ref="E267:H267"/>
    <mergeCell ref="A268:H268"/>
    <mergeCell ref="A269:A271"/>
    <mergeCell ref="B269:F269"/>
    <mergeCell ref="G269:H269"/>
    <mergeCell ref="B270:C270"/>
    <mergeCell ref="E270:F270"/>
    <mergeCell ref="G270:H270"/>
    <mergeCell ref="G271:H271"/>
    <mergeCell ref="G284:H284"/>
    <mergeCell ref="G285:H285"/>
    <mergeCell ref="G286:H286"/>
    <mergeCell ref="G287:H287"/>
    <mergeCell ref="G288:H288"/>
    <mergeCell ref="G289:H289"/>
    <mergeCell ref="G278:H278"/>
    <mergeCell ref="G279:H279"/>
    <mergeCell ref="G280:H280"/>
    <mergeCell ref="G281:H281"/>
    <mergeCell ref="G282:H282"/>
    <mergeCell ref="G283:H283"/>
    <mergeCell ref="G290:H290"/>
    <mergeCell ref="A291:H291"/>
    <mergeCell ref="A292:H292"/>
    <mergeCell ref="A293:H293"/>
    <mergeCell ref="E335:H335"/>
    <mergeCell ref="A336:A337"/>
    <mergeCell ref="B336:B337"/>
    <mergeCell ref="C336:C337"/>
    <mergeCell ref="D336:D337"/>
    <mergeCell ref="E336:H336"/>
    <mergeCell ref="G326:H326"/>
    <mergeCell ref="A327:H327"/>
    <mergeCell ref="A328:H328"/>
    <mergeCell ref="A329:H329"/>
    <mergeCell ref="G314:H314"/>
    <mergeCell ref="G315:H315"/>
    <mergeCell ref="G316:H316"/>
    <mergeCell ref="G317:H317"/>
    <mergeCell ref="G318:H318"/>
    <mergeCell ref="G319:H319"/>
    <mergeCell ref="G308:H308"/>
    <mergeCell ref="G309:H309"/>
    <mergeCell ref="G310:H310"/>
    <mergeCell ref="G311:H311"/>
    <mergeCell ref="E340:F340"/>
    <mergeCell ref="G340:H340"/>
    <mergeCell ref="G341:H341"/>
    <mergeCell ref="G354:H354"/>
    <mergeCell ref="G355:H355"/>
    <mergeCell ref="G356:H356"/>
    <mergeCell ref="G357:H357"/>
    <mergeCell ref="G358:H358"/>
    <mergeCell ref="G359:H359"/>
    <mergeCell ref="G348:H348"/>
    <mergeCell ref="G349:H349"/>
    <mergeCell ref="G350:H350"/>
    <mergeCell ref="G351:H351"/>
    <mergeCell ref="G352:H352"/>
    <mergeCell ref="G353:H353"/>
    <mergeCell ref="G360:H360"/>
    <mergeCell ref="A361:H361"/>
    <mergeCell ref="A362:H362"/>
    <mergeCell ref="A363:H363"/>
    <mergeCell ref="E371:H371"/>
    <mergeCell ref="A372:A373"/>
    <mergeCell ref="B372:B373"/>
    <mergeCell ref="C372:C373"/>
    <mergeCell ref="D372:D373"/>
    <mergeCell ref="E372:H372"/>
    <mergeCell ref="E373:H373"/>
    <mergeCell ref="A374:H374"/>
    <mergeCell ref="A375:A377"/>
    <mergeCell ref="B375:F375"/>
    <mergeCell ref="G375:H375"/>
    <mergeCell ref="B376:C376"/>
    <mergeCell ref="E376:F376"/>
    <mergeCell ref="G376:H376"/>
    <mergeCell ref="G377:H377"/>
    <mergeCell ref="G384:H384"/>
    <mergeCell ref="G385:H385"/>
    <mergeCell ref="G386:H386"/>
    <mergeCell ref="G387:H387"/>
    <mergeCell ref="G388:H388"/>
    <mergeCell ref="G389:H389"/>
    <mergeCell ref="G378:H378"/>
    <mergeCell ref="G379:H379"/>
    <mergeCell ref="G380:H380"/>
    <mergeCell ref="G381:H381"/>
    <mergeCell ref="G382:H382"/>
    <mergeCell ref="G383:H383"/>
    <mergeCell ref="G396:H396"/>
    <mergeCell ref="A397:H397"/>
    <mergeCell ref="A398:H398"/>
    <mergeCell ref="A399:H399"/>
    <mergeCell ref="G390:H390"/>
    <mergeCell ref="G391:H391"/>
    <mergeCell ref="G392:H392"/>
    <mergeCell ref="G393:H393"/>
    <mergeCell ref="G394:H394"/>
    <mergeCell ref="G395:H395"/>
  </mergeCells>
  <pageMargins left="0.11811023622047245" right="0.11811023622047245" top="0" bottom="0.15748031496062992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05"/>
  <sheetViews>
    <sheetView topLeftCell="B352" workbookViewId="0">
      <selection activeCell="K346" sqref="K346"/>
    </sheetView>
  </sheetViews>
  <sheetFormatPr defaultRowHeight="15" x14ac:dyDescent="0.25"/>
  <cols>
    <col min="1" max="1" width="35.42578125" customWidth="1"/>
    <col min="2" max="2" width="25.7109375" style="10" customWidth="1"/>
    <col min="3" max="3" width="14.140625" style="10" customWidth="1"/>
    <col min="4" max="4" width="16.140625" style="10" customWidth="1"/>
    <col min="5" max="5" width="17.28515625" style="10" customWidth="1"/>
    <col min="6" max="6" width="11.5703125" style="10" customWidth="1"/>
    <col min="7" max="7" width="12.7109375" style="10" customWidth="1"/>
    <col min="8" max="8" width="8.140625" style="10" customWidth="1"/>
    <col min="11" max="11" width="13.85546875" bestFit="1" customWidth="1"/>
  </cols>
  <sheetData>
    <row r="2" spans="1:10" x14ac:dyDescent="0.25">
      <c r="A2" s="85"/>
      <c r="B2" s="86"/>
      <c r="C2" s="86"/>
      <c r="D2" s="86"/>
      <c r="E2" s="112" t="s">
        <v>29</v>
      </c>
      <c r="F2" s="112"/>
      <c r="G2" s="112"/>
      <c r="H2" s="112"/>
    </row>
    <row r="3" spans="1:10" x14ac:dyDescent="0.25">
      <c r="A3" s="113"/>
      <c r="B3" s="114"/>
      <c r="C3" s="114"/>
      <c r="D3" s="115"/>
      <c r="E3" s="115" t="s">
        <v>0</v>
      </c>
      <c r="F3" s="115"/>
      <c r="G3" s="115"/>
      <c r="H3" s="115"/>
    </row>
    <row r="4" spans="1:10" x14ac:dyDescent="0.25">
      <c r="A4" s="113"/>
      <c r="B4" s="114"/>
      <c r="C4" s="114"/>
      <c r="D4" s="115"/>
      <c r="E4" s="128" t="s">
        <v>31</v>
      </c>
      <c r="F4" s="115"/>
      <c r="G4" s="115"/>
      <c r="H4" s="115"/>
    </row>
    <row r="5" spans="1:10" ht="15.75" thickBot="1" x14ac:dyDescent="0.3">
      <c r="A5" s="98" t="s">
        <v>228</v>
      </c>
      <c r="B5" s="98"/>
      <c r="C5" s="98"/>
      <c r="D5" s="98"/>
      <c r="E5" s="98"/>
      <c r="F5" s="98"/>
      <c r="G5" s="98"/>
      <c r="H5" s="98"/>
    </row>
    <row r="6" spans="1:10" x14ac:dyDescent="0.25">
      <c r="A6" s="100" t="s">
        <v>2</v>
      </c>
      <c r="B6" s="103" t="s">
        <v>30</v>
      </c>
      <c r="C6" s="104"/>
      <c r="D6" s="104"/>
      <c r="E6" s="104"/>
      <c r="F6" s="104"/>
      <c r="G6" s="105" t="s">
        <v>3</v>
      </c>
      <c r="H6" s="106"/>
    </row>
    <row r="7" spans="1:10" ht="135.75" thickBot="1" x14ac:dyDescent="0.3">
      <c r="A7" s="124"/>
      <c r="B7" s="105" t="s">
        <v>30</v>
      </c>
      <c r="C7" s="105"/>
      <c r="D7" s="15" t="s">
        <v>32</v>
      </c>
      <c r="E7" s="105" t="s">
        <v>4</v>
      </c>
      <c r="F7" s="105"/>
      <c r="G7" s="125"/>
      <c r="H7" s="109"/>
    </row>
    <row r="8" spans="1:10" ht="165.75" thickBot="1" x14ac:dyDescent="0.3">
      <c r="A8" s="102"/>
      <c r="B8" s="75" t="s">
        <v>36</v>
      </c>
      <c r="C8" s="83" t="s">
        <v>5</v>
      </c>
      <c r="D8" s="15" t="s">
        <v>33</v>
      </c>
      <c r="E8" s="83" t="s">
        <v>34</v>
      </c>
      <c r="F8" s="89" t="s">
        <v>35</v>
      </c>
      <c r="G8" s="110"/>
      <c r="H8" s="111"/>
    </row>
    <row r="9" spans="1:10" ht="15.75" thickBot="1" x14ac:dyDescent="0.3">
      <c r="A9" s="82">
        <v>1</v>
      </c>
      <c r="B9" s="89">
        <v>2</v>
      </c>
      <c r="C9" s="11">
        <v>3</v>
      </c>
      <c r="D9" s="89">
        <v>4</v>
      </c>
      <c r="E9" s="11">
        <v>5</v>
      </c>
      <c r="F9" s="89">
        <v>6</v>
      </c>
      <c r="G9" s="96" t="s">
        <v>6</v>
      </c>
      <c r="H9" s="97"/>
    </row>
    <row r="10" spans="1:10" ht="60.75" thickBot="1" x14ac:dyDescent="0.3">
      <c r="A10" s="2" t="s">
        <v>7</v>
      </c>
      <c r="B10" s="6">
        <f>B11</f>
        <v>17728.48</v>
      </c>
      <c r="C10" s="12"/>
      <c r="D10" s="6">
        <f>D11</f>
        <v>5295.52</v>
      </c>
      <c r="E10" s="8" t="s">
        <v>8</v>
      </c>
      <c r="F10" s="8" t="s">
        <v>8</v>
      </c>
      <c r="G10" s="90">
        <v>23024</v>
      </c>
      <c r="H10" s="91"/>
    </row>
    <row r="11" spans="1:10" ht="15.75" thickBot="1" x14ac:dyDescent="0.3">
      <c r="A11" s="3" t="s">
        <v>9</v>
      </c>
      <c r="B11" s="6">
        <f>G11*77%</f>
        <v>17728.48</v>
      </c>
      <c r="C11" s="12"/>
      <c r="D11" s="84">
        <f>G11-B11</f>
        <v>5295.52</v>
      </c>
      <c r="E11" s="8" t="s">
        <v>8</v>
      </c>
      <c r="F11" s="8" t="s">
        <v>8</v>
      </c>
      <c r="G11" s="90">
        <f>G10</f>
        <v>23024</v>
      </c>
      <c r="H11" s="91"/>
    </row>
    <row r="12" spans="1:10" ht="15.75" thickBot="1" x14ac:dyDescent="0.3">
      <c r="A12" s="2" t="s">
        <v>10</v>
      </c>
      <c r="B12" s="6">
        <v>0</v>
      </c>
      <c r="C12" s="12"/>
      <c r="D12" s="6">
        <v>0</v>
      </c>
      <c r="E12" s="8" t="s">
        <v>8</v>
      </c>
      <c r="F12" s="8" t="s">
        <v>8</v>
      </c>
      <c r="G12" s="90">
        <v>0</v>
      </c>
      <c r="H12" s="91"/>
    </row>
    <row r="13" spans="1:10" ht="60.75" thickBot="1" x14ac:dyDescent="0.3">
      <c r="A13" s="2" t="s">
        <v>11</v>
      </c>
      <c r="B13" s="6">
        <f t="shared" ref="B13" si="0">G13*77%</f>
        <v>9326.24</v>
      </c>
      <c r="C13" s="12"/>
      <c r="D13" s="84">
        <f>G13-B13</f>
        <v>2785.76</v>
      </c>
      <c r="E13" s="8" t="s">
        <v>8</v>
      </c>
      <c r="F13" s="8" t="s">
        <v>8</v>
      </c>
      <c r="G13" s="90">
        <v>12112</v>
      </c>
      <c r="H13" s="91"/>
    </row>
    <row r="14" spans="1:10" ht="30.75" thickBot="1" x14ac:dyDescent="0.3">
      <c r="A14" s="2" t="s">
        <v>12</v>
      </c>
      <c r="B14" s="6">
        <f>G14*77%</f>
        <v>167.09</v>
      </c>
      <c r="C14" s="12"/>
      <c r="D14" s="84">
        <f>G14-B14</f>
        <v>49.91</v>
      </c>
      <c r="E14" s="8" t="s">
        <v>8</v>
      </c>
      <c r="F14" s="8" t="s">
        <v>8</v>
      </c>
      <c r="G14" s="90">
        <v>217</v>
      </c>
      <c r="H14" s="91"/>
      <c r="I14" s="10">
        <f>G14+G13+G11</f>
        <v>35353</v>
      </c>
      <c r="J14" s="10">
        <f>35353-I14</f>
        <v>0</v>
      </c>
    </row>
    <row r="15" spans="1:10" ht="15.75" thickBot="1" x14ac:dyDescent="0.3">
      <c r="A15" s="2" t="s">
        <v>13</v>
      </c>
      <c r="B15" s="6">
        <f>G15*56%</f>
        <v>1649.2</v>
      </c>
      <c r="C15" s="6"/>
      <c r="D15" s="84">
        <f>G15-B15</f>
        <v>1295.8</v>
      </c>
      <c r="E15" s="8" t="s">
        <v>8</v>
      </c>
      <c r="F15" s="8" t="s">
        <v>8</v>
      </c>
      <c r="G15" s="90">
        <v>2945</v>
      </c>
      <c r="H15" s="91"/>
    </row>
    <row r="16" spans="1:10" ht="30.75" thickBot="1" x14ac:dyDescent="0.3">
      <c r="A16" s="2" t="s">
        <v>14</v>
      </c>
      <c r="B16" s="6">
        <f>G16*56%</f>
        <v>465.92000000000007</v>
      </c>
      <c r="C16" s="6"/>
      <c r="D16" s="84">
        <f>G16-B16</f>
        <v>366.07999999999993</v>
      </c>
      <c r="E16" s="8" t="s">
        <v>8</v>
      </c>
      <c r="F16" s="8" t="s">
        <v>8</v>
      </c>
      <c r="G16" s="90">
        <f>271+561</f>
        <v>832</v>
      </c>
      <c r="H16" s="91"/>
    </row>
    <row r="17" spans="1:11" ht="45.75" thickBot="1" x14ac:dyDescent="0.3">
      <c r="A17" s="2" t="s">
        <v>15</v>
      </c>
      <c r="B17" s="8" t="s">
        <v>8</v>
      </c>
      <c r="C17" s="8" t="s">
        <v>8</v>
      </c>
      <c r="D17" s="6"/>
      <c r="E17" s="8" t="s">
        <v>8</v>
      </c>
      <c r="F17" s="8" t="s">
        <v>8</v>
      </c>
      <c r="G17" s="90"/>
      <c r="H17" s="91"/>
    </row>
    <row r="18" spans="1:11" ht="15.75" thickBot="1" x14ac:dyDescent="0.3">
      <c r="A18" s="2" t="s">
        <v>16</v>
      </c>
      <c r="B18" s="8" t="s">
        <v>8</v>
      </c>
      <c r="C18" s="8" t="s">
        <v>8</v>
      </c>
      <c r="D18" s="12"/>
      <c r="E18" s="6"/>
      <c r="F18" s="6"/>
      <c r="G18" s="90"/>
      <c r="H18" s="91"/>
    </row>
    <row r="19" spans="1:11" ht="15.75" thickBot="1" x14ac:dyDescent="0.3">
      <c r="A19" s="3" t="s">
        <v>17</v>
      </c>
      <c r="B19" s="6">
        <f>G19*56%</f>
        <v>0</v>
      </c>
      <c r="C19" s="8"/>
      <c r="D19" s="6"/>
      <c r="E19" s="6">
        <f>G19-B19</f>
        <v>0</v>
      </c>
      <c r="F19" s="6"/>
      <c r="G19" s="90">
        <v>0</v>
      </c>
      <c r="H19" s="91"/>
    </row>
    <row r="20" spans="1:11" ht="15.75" thickBot="1" x14ac:dyDescent="0.3">
      <c r="A20" s="3" t="s">
        <v>18</v>
      </c>
      <c r="B20" s="6"/>
      <c r="C20" s="8"/>
      <c r="D20" s="8"/>
      <c r="E20" s="6"/>
      <c r="F20" s="6"/>
      <c r="G20" s="90"/>
      <c r="H20" s="91"/>
    </row>
    <row r="21" spans="1:11" ht="45.75" thickBot="1" x14ac:dyDescent="0.3">
      <c r="A21" s="2" t="s">
        <v>19</v>
      </c>
      <c r="B21" s="6"/>
      <c r="C21" s="8"/>
      <c r="D21" s="6"/>
      <c r="E21" s="6"/>
      <c r="F21" s="6"/>
      <c r="G21" s="94"/>
      <c r="H21" s="95"/>
    </row>
    <row r="22" spans="1:11" ht="30.75" thickBot="1" x14ac:dyDescent="0.3">
      <c r="A22" s="2" t="s">
        <v>20</v>
      </c>
      <c r="B22" s="6"/>
      <c r="C22" s="8"/>
      <c r="D22" s="6"/>
      <c r="E22" s="6">
        <v>6843</v>
      </c>
      <c r="F22" s="6"/>
      <c r="G22" s="90">
        <v>7229</v>
      </c>
      <c r="H22" s="91"/>
    </row>
    <row r="23" spans="1:11" ht="30.75" thickBot="1" x14ac:dyDescent="0.3">
      <c r="A23" s="2" t="s">
        <v>21</v>
      </c>
      <c r="B23" s="6">
        <f>G23*56%</f>
        <v>1370.3200000000002</v>
      </c>
      <c r="C23" s="6"/>
      <c r="D23" s="84">
        <f>G23-B23</f>
        <v>1076.6799999999998</v>
      </c>
      <c r="E23" s="8" t="s">
        <v>8</v>
      </c>
      <c r="F23" s="8" t="s">
        <v>8</v>
      </c>
      <c r="G23" s="90">
        <f>2447</f>
        <v>2447</v>
      </c>
      <c r="H23" s="91"/>
    </row>
    <row r="24" spans="1:11" ht="15.75" thickBot="1" x14ac:dyDescent="0.3">
      <c r="A24" s="3" t="s">
        <v>22</v>
      </c>
      <c r="B24" s="6">
        <f>G24*56%</f>
        <v>1962.2400000000002</v>
      </c>
      <c r="C24" s="6"/>
      <c r="D24" s="84">
        <f>G24-B24</f>
        <v>1541.7599999999998</v>
      </c>
      <c r="E24" s="8" t="s">
        <v>8</v>
      </c>
      <c r="F24" s="8" t="s">
        <v>8</v>
      </c>
      <c r="G24" s="90">
        <f>3379+125</f>
        <v>3504</v>
      </c>
      <c r="H24" s="91"/>
    </row>
    <row r="25" spans="1:11" ht="15.75" thickBot="1" x14ac:dyDescent="0.3">
      <c r="A25" s="3" t="s">
        <v>23</v>
      </c>
      <c r="B25" s="8" t="s">
        <v>8</v>
      </c>
      <c r="C25" s="12"/>
      <c r="D25" s="8" t="s">
        <v>8</v>
      </c>
      <c r="E25" s="8" t="s">
        <v>8</v>
      </c>
      <c r="F25" s="8" t="s">
        <v>8</v>
      </c>
      <c r="G25" s="94"/>
      <c r="H25" s="95"/>
    </row>
    <row r="26" spans="1:11" ht="15.75" thickBot="1" x14ac:dyDescent="0.3">
      <c r="A26" s="3" t="s">
        <v>24</v>
      </c>
      <c r="B26" s="6"/>
      <c r="C26" s="6"/>
      <c r="D26" s="6"/>
      <c r="E26" s="8" t="s">
        <v>8</v>
      </c>
      <c r="F26" s="8" t="s">
        <v>8</v>
      </c>
      <c r="G26" s="90"/>
      <c r="H26" s="91"/>
    </row>
    <row r="27" spans="1:11" ht="15.75" thickBot="1" x14ac:dyDescent="0.3">
      <c r="A27" s="4" t="s">
        <v>25</v>
      </c>
      <c r="B27" s="6">
        <f>SUM(B11:B26)</f>
        <v>32669.49</v>
      </c>
      <c r="C27" s="6"/>
      <c r="D27" s="6">
        <f>SUM(D11:D26)</f>
        <v>12411.51</v>
      </c>
      <c r="E27" s="6">
        <f>SUM(E11:E26)</f>
        <v>6843</v>
      </c>
      <c r="F27" s="6"/>
      <c r="G27" s="90">
        <f>SUM(G11:H26)</f>
        <v>52310</v>
      </c>
      <c r="H27" s="91"/>
    </row>
    <row r="28" spans="1:11" x14ac:dyDescent="0.25">
      <c r="A28" s="92" t="s">
        <v>26</v>
      </c>
      <c r="B28" s="92"/>
      <c r="C28" s="92"/>
      <c r="D28" s="92"/>
      <c r="E28" s="92"/>
      <c r="F28" s="92"/>
      <c r="G28" s="92"/>
      <c r="H28" s="92"/>
    </row>
    <row r="29" spans="1:11" x14ac:dyDescent="0.25">
      <c r="A29" s="93" t="s">
        <v>27</v>
      </c>
      <c r="B29" s="93"/>
      <c r="C29" s="93"/>
      <c r="D29" s="93"/>
      <c r="E29" s="93"/>
      <c r="F29" s="93"/>
      <c r="G29" s="93"/>
      <c r="H29" s="93"/>
    </row>
    <row r="30" spans="1:11" x14ac:dyDescent="0.25">
      <c r="A30" s="93" t="s">
        <v>28</v>
      </c>
      <c r="B30" s="93"/>
      <c r="C30" s="93"/>
      <c r="D30" s="93"/>
      <c r="E30" s="93"/>
      <c r="F30" s="93"/>
      <c r="G30" s="93"/>
      <c r="H30" s="93"/>
      <c r="K30" s="10">
        <f>G27-7229</f>
        <v>45081</v>
      </c>
    </row>
    <row r="31" spans="1:11" x14ac:dyDescent="0.25">
      <c r="K31" s="10">
        <f>K30-45081</f>
        <v>0</v>
      </c>
    </row>
    <row r="32" spans="1:11" x14ac:dyDescent="0.25">
      <c r="B32" s="10" t="s">
        <v>229</v>
      </c>
      <c r="C32" s="10">
        <v>17020</v>
      </c>
    </row>
    <row r="33" spans="1:8" x14ac:dyDescent="0.25">
      <c r="C33" s="10">
        <f>C32-B27</f>
        <v>-15649.490000000002</v>
      </c>
    </row>
    <row r="38" spans="1:8" x14ac:dyDescent="0.25">
      <c r="A38" s="85"/>
      <c r="B38" s="86"/>
      <c r="C38" s="86"/>
      <c r="D38" s="86"/>
      <c r="E38" s="112" t="s">
        <v>29</v>
      </c>
      <c r="F38" s="112"/>
      <c r="G38" s="112"/>
      <c r="H38" s="112"/>
    </row>
    <row r="39" spans="1:8" x14ac:dyDescent="0.25">
      <c r="A39" s="113"/>
      <c r="B39" s="114"/>
      <c r="C39" s="114"/>
      <c r="D39" s="115"/>
      <c r="E39" s="115" t="s">
        <v>0</v>
      </c>
      <c r="F39" s="115"/>
      <c r="G39" s="115"/>
      <c r="H39" s="115"/>
    </row>
    <row r="40" spans="1:8" x14ac:dyDescent="0.25">
      <c r="A40" s="113"/>
      <c r="B40" s="114"/>
      <c r="C40" s="114"/>
      <c r="D40" s="115"/>
      <c r="E40" s="128" t="s">
        <v>31</v>
      </c>
      <c r="F40" s="115"/>
      <c r="G40" s="115"/>
      <c r="H40" s="115"/>
    </row>
    <row r="41" spans="1:8" ht="15.75" thickBot="1" x14ac:dyDescent="0.3">
      <c r="A41" s="98" t="s">
        <v>230</v>
      </c>
      <c r="B41" s="98"/>
      <c r="C41" s="98"/>
      <c r="D41" s="98"/>
      <c r="E41" s="98"/>
      <c r="F41" s="98"/>
      <c r="G41" s="98"/>
      <c r="H41" s="98"/>
    </row>
    <row r="42" spans="1:8" x14ac:dyDescent="0.25">
      <c r="A42" s="100" t="s">
        <v>2</v>
      </c>
      <c r="B42" s="103" t="s">
        <v>30</v>
      </c>
      <c r="C42" s="104"/>
      <c r="D42" s="104"/>
      <c r="E42" s="104"/>
      <c r="F42" s="104"/>
      <c r="G42" s="105" t="s">
        <v>3</v>
      </c>
      <c r="H42" s="106"/>
    </row>
    <row r="43" spans="1:8" ht="135.75" thickBot="1" x14ac:dyDescent="0.3">
      <c r="A43" s="124"/>
      <c r="B43" s="105" t="s">
        <v>30</v>
      </c>
      <c r="C43" s="105"/>
      <c r="D43" s="15" t="s">
        <v>32</v>
      </c>
      <c r="E43" s="105" t="s">
        <v>4</v>
      </c>
      <c r="F43" s="105"/>
      <c r="G43" s="125"/>
      <c r="H43" s="109"/>
    </row>
    <row r="44" spans="1:8" ht="165.75" thickBot="1" x14ac:dyDescent="0.3">
      <c r="A44" s="102"/>
      <c r="B44" s="14" t="s">
        <v>36</v>
      </c>
      <c r="C44" s="83" t="s">
        <v>5</v>
      </c>
      <c r="D44" s="15" t="s">
        <v>33</v>
      </c>
      <c r="E44" s="83" t="s">
        <v>34</v>
      </c>
      <c r="F44" s="89" t="s">
        <v>35</v>
      </c>
      <c r="G44" s="110"/>
      <c r="H44" s="111"/>
    </row>
    <row r="45" spans="1:8" ht="15.75" thickBot="1" x14ac:dyDescent="0.3">
      <c r="A45" s="82">
        <v>1</v>
      </c>
      <c r="B45" s="89">
        <v>2</v>
      </c>
      <c r="C45" s="11">
        <v>3</v>
      </c>
      <c r="D45" s="89">
        <v>4</v>
      </c>
      <c r="E45" s="11">
        <v>5</v>
      </c>
      <c r="F45" s="89">
        <v>6</v>
      </c>
      <c r="G45" s="96" t="s">
        <v>6</v>
      </c>
      <c r="H45" s="97"/>
    </row>
    <row r="46" spans="1:8" ht="60.75" thickBot="1" x14ac:dyDescent="0.3">
      <c r="A46" s="2" t="s">
        <v>7</v>
      </c>
      <c r="B46" s="6">
        <f>B47</f>
        <v>35764.959999999999</v>
      </c>
      <c r="C46" s="12"/>
      <c r="D46" s="6">
        <f>D47</f>
        <v>10683.04</v>
      </c>
      <c r="E46" s="8" t="s">
        <v>8</v>
      </c>
      <c r="F46" s="8" t="s">
        <v>8</v>
      </c>
      <c r="G46" s="90">
        <f>46737-289</f>
        <v>46448</v>
      </c>
      <c r="H46" s="91"/>
    </row>
    <row r="47" spans="1:8" ht="15.75" thickBot="1" x14ac:dyDescent="0.3">
      <c r="A47" s="3" t="s">
        <v>9</v>
      </c>
      <c r="B47" s="6">
        <f>G47*77%</f>
        <v>35764.959999999999</v>
      </c>
      <c r="C47" s="12"/>
      <c r="D47" s="84">
        <f>G47-B47</f>
        <v>10683.04</v>
      </c>
      <c r="E47" s="8" t="s">
        <v>8</v>
      </c>
      <c r="F47" s="8" t="s">
        <v>8</v>
      </c>
      <c r="G47" s="90">
        <f>G46</f>
        <v>46448</v>
      </c>
      <c r="H47" s="91"/>
    </row>
    <row r="48" spans="1:8" ht="15.75" thickBot="1" x14ac:dyDescent="0.3">
      <c r="A48" s="2" t="s">
        <v>10</v>
      </c>
      <c r="B48" s="6">
        <v>0</v>
      </c>
      <c r="C48" s="12"/>
      <c r="D48" s="6">
        <v>0</v>
      </c>
      <c r="E48" s="8" t="s">
        <v>8</v>
      </c>
      <c r="F48" s="8" t="s">
        <v>8</v>
      </c>
      <c r="G48" s="90">
        <v>0</v>
      </c>
      <c r="H48" s="91"/>
    </row>
    <row r="49" spans="1:9" ht="60.75" thickBot="1" x14ac:dyDescent="0.3">
      <c r="A49" s="2" t="s">
        <v>11</v>
      </c>
      <c r="B49" s="6">
        <f t="shared" ref="B49" si="1">G49*77%</f>
        <v>18631.689999999999</v>
      </c>
      <c r="C49" s="12"/>
      <c r="D49" s="84">
        <f>G49-B49</f>
        <v>5565.3100000000013</v>
      </c>
      <c r="E49" s="8" t="s">
        <v>8</v>
      </c>
      <c r="F49" s="8" t="s">
        <v>8</v>
      </c>
      <c r="G49" s="90">
        <f>20485+3885-173</f>
        <v>24197</v>
      </c>
      <c r="H49" s="91"/>
    </row>
    <row r="50" spans="1:9" ht="30.75" thickBot="1" x14ac:dyDescent="0.3">
      <c r="A50" s="2" t="s">
        <v>12</v>
      </c>
      <c r="B50" s="6">
        <f>G50*77%</f>
        <v>355.74</v>
      </c>
      <c r="C50" s="12"/>
      <c r="D50" s="84">
        <f>G50-B50</f>
        <v>106.25999999999999</v>
      </c>
      <c r="E50" s="8" t="s">
        <v>8</v>
      </c>
      <c r="F50" s="8" t="s">
        <v>8</v>
      </c>
      <c r="G50" s="90">
        <f>289+173</f>
        <v>462</v>
      </c>
      <c r="H50" s="91"/>
      <c r="I50" s="10">
        <f>G50+G49+G47</f>
        <v>71107</v>
      </c>
    </row>
    <row r="51" spans="1:9" ht="15.75" thickBot="1" x14ac:dyDescent="0.3">
      <c r="A51" s="2" t="s">
        <v>13</v>
      </c>
      <c r="B51" s="6">
        <f>G51*56%</f>
        <v>3212.7200000000003</v>
      </c>
      <c r="C51" s="6"/>
      <c r="D51" s="84">
        <f>G51-B51</f>
        <v>2524.2799999999997</v>
      </c>
      <c r="E51" s="8" t="s">
        <v>8</v>
      </c>
      <c r="F51" s="8" t="s">
        <v>8</v>
      </c>
      <c r="G51" s="90">
        <v>5737</v>
      </c>
      <c r="H51" s="91"/>
    </row>
    <row r="52" spans="1:9" ht="30.75" thickBot="1" x14ac:dyDescent="0.3">
      <c r="A52" s="2" t="s">
        <v>14</v>
      </c>
      <c r="B52" s="6">
        <f>G52*56%</f>
        <v>673.68000000000006</v>
      </c>
      <c r="C52" s="6"/>
      <c r="D52" s="84">
        <f>G52-B52</f>
        <v>529.31999999999994</v>
      </c>
      <c r="E52" s="8" t="s">
        <v>8</v>
      </c>
      <c r="F52" s="8" t="s">
        <v>8</v>
      </c>
      <c r="G52" s="90">
        <f>271+561+371</f>
        <v>1203</v>
      </c>
      <c r="H52" s="91"/>
    </row>
    <row r="53" spans="1:9" ht="45.75" thickBot="1" x14ac:dyDescent="0.3">
      <c r="A53" s="2" t="s">
        <v>15</v>
      </c>
      <c r="B53" s="8" t="s">
        <v>8</v>
      </c>
      <c r="C53" s="8" t="s">
        <v>8</v>
      </c>
      <c r="D53" s="6"/>
      <c r="E53" s="8" t="s">
        <v>8</v>
      </c>
      <c r="F53" s="8" t="s">
        <v>8</v>
      </c>
      <c r="G53" s="90"/>
      <c r="H53" s="91"/>
    </row>
    <row r="54" spans="1:9" ht="15.75" thickBot="1" x14ac:dyDescent="0.3">
      <c r="A54" s="2" t="s">
        <v>16</v>
      </c>
      <c r="B54" s="8" t="s">
        <v>8</v>
      </c>
      <c r="C54" s="8" t="s">
        <v>8</v>
      </c>
      <c r="D54" s="12">
        <v>0</v>
      </c>
      <c r="E54" s="6">
        <v>0</v>
      </c>
      <c r="F54" s="6"/>
      <c r="G54" s="90">
        <v>0</v>
      </c>
      <c r="H54" s="91"/>
    </row>
    <row r="55" spans="1:9" ht="15.75" thickBot="1" x14ac:dyDescent="0.3">
      <c r="A55" s="3" t="s">
        <v>17</v>
      </c>
      <c r="B55" s="6">
        <f>G55*56%</f>
        <v>0</v>
      </c>
      <c r="C55" s="8"/>
      <c r="D55" s="6"/>
      <c r="E55" s="6">
        <f>G55-B55</f>
        <v>0</v>
      </c>
      <c r="F55" s="6"/>
      <c r="G55" s="90">
        <v>0</v>
      </c>
      <c r="H55" s="91"/>
    </row>
    <row r="56" spans="1:9" ht="15.75" thickBot="1" x14ac:dyDescent="0.3">
      <c r="A56" s="3" t="s">
        <v>18</v>
      </c>
      <c r="B56" s="6"/>
      <c r="C56" s="8"/>
      <c r="D56" s="8"/>
      <c r="E56" s="6"/>
      <c r="F56" s="6"/>
      <c r="G56" s="90"/>
      <c r="H56" s="91"/>
    </row>
    <row r="57" spans="1:9" ht="45.75" thickBot="1" x14ac:dyDescent="0.3">
      <c r="A57" s="2" t="s">
        <v>19</v>
      </c>
      <c r="B57" s="6"/>
      <c r="C57" s="8"/>
      <c r="D57" s="6"/>
      <c r="E57" s="6"/>
      <c r="F57" s="6"/>
      <c r="G57" s="94"/>
      <c r="H57" s="95"/>
    </row>
    <row r="58" spans="1:9" ht="30.75" thickBot="1" x14ac:dyDescent="0.3">
      <c r="A58" s="2" t="s">
        <v>20</v>
      </c>
      <c r="B58" s="6"/>
      <c r="C58" s="8"/>
      <c r="D58" s="6"/>
      <c r="E58" s="6">
        <v>14034</v>
      </c>
      <c r="F58" s="6"/>
      <c r="G58" s="90">
        <v>14458</v>
      </c>
      <c r="H58" s="91"/>
    </row>
    <row r="59" spans="1:9" ht="30.75" thickBot="1" x14ac:dyDescent="0.3">
      <c r="A59" s="2" t="s">
        <v>21</v>
      </c>
      <c r="B59" s="6">
        <f>G59*56%</f>
        <v>4366.88</v>
      </c>
      <c r="C59" s="6"/>
      <c r="D59" s="84">
        <f>G59-B59</f>
        <v>3431.12</v>
      </c>
      <c r="E59" s="8" t="s">
        <v>8</v>
      </c>
      <c r="F59" s="8" t="s">
        <v>8</v>
      </c>
      <c r="G59" s="90">
        <v>7798</v>
      </c>
      <c r="H59" s="91"/>
    </row>
    <row r="60" spans="1:9" ht="15.75" thickBot="1" x14ac:dyDescent="0.3">
      <c r="A60" s="3" t="s">
        <v>22</v>
      </c>
      <c r="B60" s="6">
        <f>G60*56%</f>
        <v>9373.2800000000007</v>
      </c>
      <c r="C60" s="6"/>
      <c r="D60" s="84">
        <f>G60-B60</f>
        <v>7364.7199999999993</v>
      </c>
      <c r="E60" s="8" t="s">
        <v>8</v>
      </c>
      <c r="F60" s="8" t="s">
        <v>8</v>
      </c>
      <c r="G60" s="90">
        <f>8300+3150+4658+630</f>
        <v>16738</v>
      </c>
      <c r="H60" s="91"/>
    </row>
    <row r="61" spans="1:9" ht="15.75" thickBot="1" x14ac:dyDescent="0.3">
      <c r="A61" s="3" t="s">
        <v>23</v>
      </c>
      <c r="B61" s="8" t="s">
        <v>8</v>
      </c>
      <c r="C61" s="12"/>
      <c r="D61" s="8" t="s">
        <v>8</v>
      </c>
      <c r="E61" s="8" t="s">
        <v>8</v>
      </c>
      <c r="F61" s="8" t="s">
        <v>8</v>
      </c>
      <c r="G61" s="94"/>
      <c r="H61" s="95"/>
    </row>
    <row r="62" spans="1:9" ht="15.75" thickBot="1" x14ac:dyDescent="0.3">
      <c r="A62" s="3" t="s">
        <v>24</v>
      </c>
      <c r="B62" s="6"/>
      <c r="C62" s="6"/>
      <c r="D62" s="6"/>
      <c r="E62" s="8" t="s">
        <v>8</v>
      </c>
      <c r="F62" s="8" t="s">
        <v>8</v>
      </c>
      <c r="G62" s="90"/>
      <c r="H62" s="91"/>
    </row>
    <row r="63" spans="1:9" ht="15.75" thickBot="1" x14ac:dyDescent="0.3">
      <c r="A63" s="4" t="s">
        <v>25</v>
      </c>
      <c r="B63" s="6">
        <f>SUM(B47:B62)</f>
        <v>72378.95</v>
      </c>
      <c r="C63" s="6"/>
      <c r="D63" s="6">
        <f>SUM(D47:D62)</f>
        <v>30204.050000000003</v>
      </c>
      <c r="E63" s="6">
        <f>SUM(E47:E62)</f>
        <v>14034</v>
      </c>
      <c r="F63" s="6"/>
      <c r="G63" s="90">
        <f>SUM(G47:H62)</f>
        <v>117041</v>
      </c>
      <c r="H63" s="91"/>
      <c r="I63" s="10">
        <f>102583-G63</f>
        <v>-14458</v>
      </c>
    </row>
    <row r="64" spans="1:9" x14ac:dyDescent="0.25">
      <c r="A64" s="92" t="s">
        <v>26</v>
      </c>
      <c r="B64" s="92"/>
      <c r="C64" s="92"/>
      <c r="D64" s="92"/>
      <c r="E64" s="92"/>
      <c r="F64" s="92"/>
      <c r="G64" s="92"/>
      <c r="H64" s="92"/>
    </row>
    <row r="65" spans="1:11" x14ac:dyDescent="0.25">
      <c r="A65" s="93" t="s">
        <v>27</v>
      </c>
      <c r="B65" s="93"/>
      <c r="C65" s="93"/>
      <c r="D65" s="93"/>
      <c r="E65" s="93"/>
      <c r="F65" s="93"/>
      <c r="G65" s="93"/>
      <c r="H65" s="93"/>
    </row>
    <row r="66" spans="1:11" x14ac:dyDescent="0.25">
      <c r="A66" s="93" t="s">
        <v>28</v>
      </c>
      <c r="B66" s="93"/>
      <c r="C66" s="93"/>
      <c r="D66" s="93"/>
      <c r="E66" s="93"/>
      <c r="F66" s="93"/>
      <c r="G66" s="93"/>
      <c r="H66" s="93"/>
      <c r="K66" s="10">
        <f>G558-G553</f>
        <v>117223</v>
      </c>
    </row>
    <row r="67" spans="1:11" x14ac:dyDescent="0.25">
      <c r="K67" s="10">
        <f>K66-244898</f>
        <v>-127675</v>
      </c>
    </row>
    <row r="68" spans="1:11" x14ac:dyDescent="0.25">
      <c r="B68" s="10" t="s">
        <v>231</v>
      </c>
      <c r="C68" s="10">
        <v>46420</v>
      </c>
    </row>
    <row r="69" spans="1:11" x14ac:dyDescent="0.25">
      <c r="C69" s="10">
        <f>C68-B63</f>
        <v>-25958.949999999997</v>
      </c>
    </row>
    <row r="76" spans="1:11" x14ac:dyDescent="0.25">
      <c r="A76" s="85"/>
      <c r="B76" s="86"/>
      <c r="C76" s="86"/>
      <c r="D76" s="86"/>
      <c r="E76" s="112" t="s">
        <v>29</v>
      </c>
      <c r="F76" s="112"/>
      <c r="G76" s="112"/>
      <c r="H76" s="112"/>
    </row>
    <row r="77" spans="1:11" x14ac:dyDescent="0.25">
      <c r="A77" s="113"/>
      <c r="B77" s="114"/>
      <c r="C77" s="114"/>
      <c r="D77" s="115"/>
      <c r="E77" s="115" t="s">
        <v>0</v>
      </c>
      <c r="F77" s="115"/>
      <c r="G77" s="115"/>
      <c r="H77" s="115"/>
    </row>
    <row r="78" spans="1:11" x14ac:dyDescent="0.25">
      <c r="A78" s="113"/>
      <c r="B78" s="114"/>
      <c r="C78" s="114"/>
      <c r="D78" s="115"/>
      <c r="E78" s="128" t="s">
        <v>31</v>
      </c>
      <c r="F78" s="115"/>
      <c r="G78" s="115"/>
      <c r="H78" s="115"/>
    </row>
    <row r="79" spans="1:11" ht="15.75" thickBot="1" x14ac:dyDescent="0.3">
      <c r="A79" s="98" t="s">
        <v>232</v>
      </c>
      <c r="B79" s="98"/>
      <c r="C79" s="98"/>
      <c r="D79" s="98"/>
      <c r="E79" s="98"/>
      <c r="F79" s="98"/>
      <c r="G79" s="98"/>
      <c r="H79" s="98"/>
    </row>
    <row r="80" spans="1:11" x14ac:dyDescent="0.25">
      <c r="A80" s="100" t="s">
        <v>2</v>
      </c>
      <c r="B80" s="103" t="s">
        <v>30</v>
      </c>
      <c r="C80" s="104"/>
      <c r="D80" s="104"/>
      <c r="E80" s="104"/>
      <c r="F80" s="104"/>
      <c r="G80" s="105" t="s">
        <v>3</v>
      </c>
      <c r="H80" s="106"/>
    </row>
    <row r="81" spans="1:9" ht="135.75" thickBot="1" x14ac:dyDescent="0.3">
      <c r="A81" s="124"/>
      <c r="B81" s="105" t="s">
        <v>30</v>
      </c>
      <c r="C81" s="105"/>
      <c r="D81" s="15" t="s">
        <v>32</v>
      </c>
      <c r="E81" s="105" t="s">
        <v>4</v>
      </c>
      <c r="F81" s="105"/>
      <c r="G81" s="125"/>
      <c r="H81" s="109"/>
    </row>
    <row r="82" spans="1:9" ht="165.75" thickBot="1" x14ac:dyDescent="0.3">
      <c r="A82" s="102"/>
      <c r="B82" s="14" t="s">
        <v>36</v>
      </c>
      <c r="C82" s="83" t="s">
        <v>5</v>
      </c>
      <c r="D82" s="15" t="s">
        <v>33</v>
      </c>
      <c r="E82" s="83" t="s">
        <v>34</v>
      </c>
      <c r="F82" s="89" t="s">
        <v>35</v>
      </c>
      <c r="G82" s="110"/>
      <c r="H82" s="111"/>
    </row>
    <row r="83" spans="1:9" ht="15.75" thickBot="1" x14ac:dyDescent="0.3">
      <c r="A83" s="82">
        <v>1</v>
      </c>
      <c r="B83" s="89">
        <v>2</v>
      </c>
      <c r="C83" s="11">
        <v>3</v>
      </c>
      <c r="D83" s="89">
        <v>4</v>
      </c>
      <c r="E83" s="11">
        <v>5</v>
      </c>
      <c r="F83" s="89">
        <v>6</v>
      </c>
      <c r="G83" s="96" t="s">
        <v>6</v>
      </c>
      <c r="H83" s="97"/>
    </row>
    <row r="84" spans="1:9" ht="60.75" thickBot="1" x14ac:dyDescent="0.3">
      <c r="A84" s="2" t="s">
        <v>7</v>
      </c>
      <c r="B84" s="6">
        <f>B85</f>
        <v>53782.96</v>
      </c>
      <c r="C84" s="12"/>
      <c r="D84" s="6">
        <f>D85</f>
        <v>16065.04</v>
      </c>
      <c r="E84" s="8" t="s">
        <v>8</v>
      </c>
      <c r="F84" s="8" t="s">
        <v>8</v>
      </c>
      <c r="G84" s="90">
        <f>70295-447</f>
        <v>69848</v>
      </c>
      <c r="H84" s="91"/>
    </row>
    <row r="85" spans="1:9" ht="15.75" thickBot="1" x14ac:dyDescent="0.3">
      <c r="A85" s="3" t="s">
        <v>9</v>
      </c>
      <c r="B85" s="6">
        <f>G85*77%</f>
        <v>53782.96</v>
      </c>
      <c r="C85" s="12"/>
      <c r="D85" s="84">
        <f>G85-B85</f>
        <v>16065.04</v>
      </c>
      <c r="E85" s="8" t="s">
        <v>8</v>
      </c>
      <c r="F85" s="8" t="s">
        <v>8</v>
      </c>
      <c r="G85" s="90">
        <f>G84</f>
        <v>69848</v>
      </c>
      <c r="H85" s="91"/>
    </row>
    <row r="86" spans="1:9" ht="15.75" thickBot="1" x14ac:dyDescent="0.3">
      <c r="A86" s="2" t="s">
        <v>10</v>
      </c>
      <c r="B86" s="6">
        <v>0</v>
      </c>
      <c r="C86" s="12"/>
      <c r="D86" s="6">
        <v>0</v>
      </c>
      <c r="E86" s="8" t="s">
        <v>8</v>
      </c>
      <c r="F86" s="8" t="s">
        <v>8</v>
      </c>
      <c r="G86" s="90">
        <v>0</v>
      </c>
      <c r="H86" s="91"/>
    </row>
    <row r="87" spans="1:9" ht="60.75" thickBot="1" x14ac:dyDescent="0.3">
      <c r="A87" s="2" t="s">
        <v>11</v>
      </c>
      <c r="B87" s="6">
        <f t="shared" ref="B87" si="2">G87*77%</f>
        <v>27747.72</v>
      </c>
      <c r="C87" s="12"/>
      <c r="D87" s="84">
        <f>G87-B87</f>
        <v>8288.2799999999988</v>
      </c>
      <c r="E87" s="8" t="s">
        <v>8</v>
      </c>
      <c r="F87" s="8" t="s">
        <v>8</v>
      </c>
      <c r="G87" s="90">
        <f>36261-225</f>
        <v>36036</v>
      </c>
      <c r="H87" s="91"/>
    </row>
    <row r="88" spans="1:9" ht="30.75" thickBot="1" x14ac:dyDescent="0.3">
      <c r="A88" s="2" t="s">
        <v>12</v>
      </c>
      <c r="B88" s="6">
        <f>G88*77%</f>
        <v>517.44000000000005</v>
      </c>
      <c r="C88" s="12"/>
      <c r="D88" s="84">
        <f>G88-B88</f>
        <v>154.55999999999995</v>
      </c>
      <c r="E88" s="8" t="s">
        <v>8</v>
      </c>
      <c r="F88" s="8" t="s">
        <v>8</v>
      </c>
      <c r="G88" s="90">
        <f>447+225</f>
        <v>672</v>
      </c>
      <c r="H88" s="91"/>
      <c r="I88" s="10">
        <f>G88+G87+G85</f>
        <v>106556</v>
      </c>
    </row>
    <row r="89" spans="1:9" ht="15.75" thickBot="1" x14ac:dyDescent="0.3">
      <c r="A89" s="2" t="s">
        <v>13</v>
      </c>
      <c r="B89" s="6">
        <f>G89*56%</f>
        <v>4005.6800000000003</v>
      </c>
      <c r="C89" s="6"/>
      <c r="D89" s="84">
        <f>G89-B89</f>
        <v>3147.3199999999997</v>
      </c>
      <c r="E89" s="8" t="s">
        <v>8</v>
      </c>
      <c r="F89" s="8" t="s">
        <v>8</v>
      </c>
      <c r="G89" s="90">
        <v>7153</v>
      </c>
      <c r="H89" s="91"/>
    </row>
    <row r="90" spans="1:9" ht="30.75" thickBot="1" x14ac:dyDescent="0.3">
      <c r="A90" s="2" t="s">
        <v>14</v>
      </c>
      <c r="B90" s="6">
        <f>G90*56%</f>
        <v>963.2</v>
      </c>
      <c r="C90" s="6"/>
      <c r="D90" s="84">
        <f>G90-B90</f>
        <v>756.8</v>
      </c>
      <c r="E90" s="8" t="s">
        <v>8</v>
      </c>
      <c r="F90" s="8" t="s">
        <v>8</v>
      </c>
      <c r="G90" s="90">
        <f>8873-G89</f>
        <v>1720</v>
      </c>
      <c r="H90" s="91"/>
    </row>
    <row r="91" spans="1:9" ht="45.75" thickBot="1" x14ac:dyDescent="0.3">
      <c r="A91" s="2" t="s">
        <v>15</v>
      </c>
      <c r="B91" s="8" t="s">
        <v>8</v>
      </c>
      <c r="C91" s="8" t="s">
        <v>8</v>
      </c>
      <c r="D91" s="6"/>
      <c r="E91" s="8" t="s">
        <v>8</v>
      </c>
      <c r="F91" s="8" t="s">
        <v>8</v>
      </c>
      <c r="G91" s="90"/>
      <c r="H91" s="91"/>
    </row>
    <row r="92" spans="1:9" ht="15.75" thickBot="1" x14ac:dyDescent="0.3">
      <c r="A92" s="2" t="s">
        <v>16</v>
      </c>
      <c r="B92" s="8" t="s">
        <v>8</v>
      </c>
      <c r="C92" s="8" t="s">
        <v>8</v>
      </c>
      <c r="D92" s="12"/>
      <c r="E92" s="6">
        <v>0</v>
      </c>
      <c r="F92" s="6"/>
      <c r="G92" s="90">
        <v>0</v>
      </c>
      <c r="H92" s="91"/>
    </row>
    <row r="93" spans="1:9" ht="15.75" thickBot="1" x14ac:dyDescent="0.3">
      <c r="A93" s="3" t="s">
        <v>17</v>
      </c>
      <c r="B93" s="6">
        <f>G93*56%</f>
        <v>0</v>
      </c>
      <c r="C93" s="8"/>
      <c r="D93" s="6"/>
      <c r="E93" s="6">
        <f>G93-B93</f>
        <v>0</v>
      </c>
      <c r="F93" s="6"/>
      <c r="G93" s="90">
        <v>0</v>
      </c>
      <c r="H93" s="91"/>
    </row>
    <row r="94" spans="1:9" ht="15.75" thickBot="1" x14ac:dyDescent="0.3">
      <c r="A94" s="3" t="s">
        <v>18</v>
      </c>
      <c r="B94" s="6"/>
      <c r="C94" s="8"/>
      <c r="D94" s="8"/>
      <c r="E94" s="6"/>
      <c r="F94" s="6"/>
      <c r="G94" s="90"/>
      <c r="H94" s="91"/>
    </row>
    <row r="95" spans="1:9" ht="45.75" thickBot="1" x14ac:dyDescent="0.3">
      <c r="A95" s="2" t="s">
        <v>19</v>
      </c>
      <c r="B95" s="6"/>
      <c r="C95" s="8"/>
      <c r="D95" s="6"/>
      <c r="E95" s="6"/>
      <c r="F95" s="6"/>
      <c r="G95" s="94"/>
      <c r="H95" s="95"/>
    </row>
    <row r="96" spans="1:9" ht="30.75" thickBot="1" x14ac:dyDescent="0.3">
      <c r="A96" s="2" t="s">
        <v>20</v>
      </c>
      <c r="B96" s="6"/>
      <c r="C96" s="8"/>
      <c r="D96" s="6"/>
      <c r="E96" s="6">
        <v>21247</v>
      </c>
      <c r="F96" s="6"/>
      <c r="G96" s="90">
        <v>21628</v>
      </c>
      <c r="H96" s="91"/>
    </row>
    <row r="97" spans="1:11" ht="30.75" thickBot="1" x14ac:dyDescent="0.3">
      <c r="A97" s="2" t="s">
        <v>21</v>
      </c>
      <c r="B97" s="6">
        <f>G97*56%</f>
        <v>5679.52</v>
      </c>
      <c r="C97" s="6"/>
      <c r="D97" s="84">
        <f>G97-B97</f>
        <v>4462.4799999999996</v>
      </c>
      <c r="E97" s="8" t="s">
        <v>8</v>
      </c>
      <c r="F97" s="8" t="s">
        <v>8</v>
      </c>
      <c r="G97" s="90">
        <f>10142-G93</f>
        <v>10142</v>
      </c>
      <c r="H97" s="91"/>
    </row>
    <row r="98" spans="1:11" ht="15.75" thickBot="1" x14ac:dyDescent="0.3">
      <c r="A98" s="3" t="s">
        <v>22</v>
      </c>
      <c r="B98" s="6">
        <f>G98*56%</f>
        <v>15363.600000000002</v>
      </c>
      <c r="C98" s="6"/>
      <c r="D98" s="84">
        <f>G98-B98</f>
        <v>12071.399999999998</v>
      </c>
      <c r="E98" s="8" t="s">
        <v>8</v>
      </c>
      <c r="F98" s="8" t="s">
        <v>8</v>
      </c>
      <c r="G98" s="90">
        <f>17114+3849+5801+671</f>
        <v>27435</v>
      </c>
      <c r="H98" s="91"/>
    </row>
    <row r="99" spans="1:11" ht="15.75" thickBot="1" x14ac:dyDescent="0.3">
      <c r="A99" s="3" t="s">
        <v>23</v>
      </c>
      <c r="B99" s="8" t="s">
        <v>8</v>
      </c>
      <c r="C99" s="12"/>
      <c r="D99" s="8" t="s">
        <v>8</v>
      </c>
      <c r="E99" s="8" t="s">
        <v>8</v>
      </c>
      <c r="F99" s="8" t="s">
        <v>8</v>
      </c>
      <c r="G99" s="94"/>
      <c r="H99" s="95"/>
    </row>
    <row r="100" spans="1:11" ht="15.75" thickBot="1" x14ac:dyDescent="0.3">
      <c r="A100" s="3" t="s">
        <v>24</v>
      </c>
      <c r="B100" s="6"/>
      <c r="C100" s="6"/>
      <c r="D100" s="6"/>
      <c r="E100" s="8" t="s">
        <v>8</v>
      </c>
      <c r="F100" s="8" t="s">
        <v>8</v>
      </c>
      <c r="G100" s="90"/>
      <c r="H100" s="91"/>
    </row>
    <row r="101" spans="1:11" ht="15.75" thickBot="1" x14ac:dyDescent="0.3">
      <c r="A101" s="4" t="s">
        <v>25</v>
      </c>
      <c r="B101" s="6">
        <f>SUM(B85:B100)</f>
        <v>108060.12</v>
      </c>
      <c r="C101" s="6"/>
      <c r="D101" s="6">
        <f>SUM(D85:D100)</f>
        <v>44945.87999999999</v>
      </c>
      <c r="E101" s="6">
        <f>SUM(E85:E100)</f>
        <v>21247</v>
      </c>
      <c r="F101" s="6"/>
      <c r="G101" s="90">
        <f>SUM(G85:H100)</f>
        <v>174634</v>
      </c>
      <c r="H101" s="91"/>
    </row>
    <row r="102" spans="1:11" x14ac:dyDescent="0.25">
      <c r="A102" s="92" t="s">
        <v>26</v>
      </c>
      <c r="B102" s="92"/>
      <c r="C102" s="92"/>
      <c r="D102" s="92"/>
      <c r="E102" s="92"/>
      <c r="F102" s="92"/>
      <c r="G102" s="92"/>
      <c r="H102" s="92"/>
    </row>
    <row r="103" spans="1:11" x14ac:dyDescent="0.25">
      <c r="A103" s="93" t="s">
        <v>27</v>
      </c>
      <c r="B103" s="93"/>
      <c r="C103" s="93"/>
      <c r="D103" s="93"/>
      <c r="E103" s="93"/>
      <c r="F103" s="93"/>
      <c r="G103" s="93"/>
      <c r="H103" s="93"/>
    </row>
    <row r="104" spans="1:11" x14ac:dyDescent="0.25">
      <c r="A104" s="93" t="s">
        <v>28</v>
      </c>
      <c r="B104" s="93"/>
      <c r="C104" s="93"/>
      <c r="D104" s="93"/>
      <c r="E104" s="93"/>
      <c r="F104" s="93"/>
      <c r="G104" s="93"/>
      <c r="H104" s="93"/>
      <c r="K104" s="10">
        <f>G101-153006</f>
        <v>21628</v>
      </c>
    </row>
    <row r="105" spans="1:11" x14ac:dyDescent="0.25">
      <c r="K105" s="10">
        <f>K104-244898</f>
        <v>-223270</v>
      </c>
    </row>
    <row r="106" spans="1:11" x14ac:dyDescent="0.25">
      <c r="B106" s="10" t="s">
        <v>234</v>
      </c>
      <c r="C106" s="10">
        <v>76320</v>
      </c>
    </row>
    <row r="107" spans="1:11" x14ac:dyDescent="0.25">
      <c r="C107" s="10">
        <f>C106-B101</f>
        <v>-31740.119999999995</v>
      </c>
    </row>
    <row r="120" spans="1:8" x14ac:dyDescent="0.25">
      <c r="A120" s="85"/>
      <c r="B120" s="86"/>
      <c r="C120" s="86"/>
      <c r="D120" s="86"/>
      <c r="E120" s="112" t="s">
        <v>29</v>
      </c>
      <c r="F120" s="112"/>
      <c r="G120" s="112"/>
      <c r="H120" s="112"/>
    </row>
    <row r="121" spans="1:8" x14ac:dyDescent="0.25">
      <c r="A121" s="113"/>
      <c r="B121" s="114"/>
      <c r="C121" s="114"/>
      <c r="D121" s="115"/>
      <c r="E121" s="115" t="s">
        <v>0</v>
      </c>
      <c r="F121" s="115"/>
      <c r="G121" s="115"/>
      <c r="H121" s="115"/>
    </row>
    <row r="122" spans="1:8" x14ac:dyDescent="0.25">
      <c r="A122" s="113"/>
      <c r="B122" s="114"/>
      <c r="C122" s="114"/>
      <c r="D122" s="115"/>
      <c r="E122" s="128" t="s">
        <v>31</v>
      </c>
      <c r="F122" s="115"/>
      <c r="G122" s="115"/>
      <c r="H122" s="115"/>
    </row>
    <row r="123" spans="1:8" ht="15.75" thickBot="1" x14ac:dyDescent="0.3">
      <c r="A123" s="98" t="s">
        <v>233</v>
      </c>
      <c r="B123" s="98"/>
      <c r="C123" s="98"/>
      <c r="D123" s="98"/>
      <c r="E123" s="98"/>
      <c r="F123" s="98"/>
      <c r="G123" s="98"/>
      <c r="H123" s="98"/>
    </row>
    <row r="124" spans="1:8" x14ac:dyDescent="0.25">
      <c r="A124" s="100" t="s">
        <v>2</v>
      </c>
      <c r="B124" s="103" t="s">
        <v>30</v>
      </c>
      <c r="C124" s="104"/>
      <c r="D124" s="104"/>
      <c r="E124" s="104"/>
      <c r="F124" s="104"/>
      <c r="G124" s="105" t="s">
        <v>3</v>
      </c>
      <c r="H124" s="106"/>
    </row>
    <row r="125" spans="1:8" ht="135.75" thickBot="1" x14ac:dyDescent="0.3">
      <c r="A125" s="124"/>
      <c r="B125" s="105" t="s">
        <v>30</v>
      </c>
      <c r="C125" s="105"/>
      <c r="D125" s="15" t="s">
        <v>32</v>
      </c>
      <c r="E125" s="105" t="s">
        <v>4</v>
      </c>
      <c r="F125" s="105"/>
      <c r="G125" s="125"/>
      <c r="H125" s="109"/>
    </row>
    <row r="126" spans="1:8" ht="165.75" thickBot="1" x14ac:dyDescent="0.3">
      <c r="A126" s="102"/>
      <c r="B126" s="14" t="s">
        <v>36</v>
      </c>
      <c r="C126" s="83" t="s">
        <v>5</v>
      </c>
      <c r="D126" s="15" t="s">
        <v>33</v>
      </c>
      <c r="E126" s="83" t="s">
        <v>34</v>
      </c>
      <c r="F126" s="89" t="s">
        <v>35</v>
      </c>
      <c r="G126" s="110"/>
      <c r="H126" s="111"/>
    </row>
    <row r="127" spans="1:8" ht="15.75" thickBot="1" x14ac:dyDescent="0.3">
      <c r="A127" s="82">
        <v>1</v>
      </c>
      <c r="B127" s="89">
        <v>2</v>
      </c>
      <c r="C127" s="11">
        <v>3</v>
      </c>
      <c r="D127" s="89">
        <v>4</v>
      </c>
      <c r="E127" s="11">
        <v>5</v>
      </c>
      <c r="F127" s="89">
        <v>6</v>
      </c>
      <c r="G127" s="96" t="s">
        <v>6</v>
      </c>
      <c r="H127" s="97"/>
    </row>
    <row r="128" spans="1:8" ht="60.75" thickBot="1" x14ac:dyDescent="0.3">
      <c r="A128" s="2" t="s">
        <v>7</v>
      </c>
      <c r="B128" s="6">
        <f>B129</f>
        <v>73038.350000000006</v>
      </c>
      <c r="C128" s="12"/>
      <c r="D128" s="6">
        <f>D129</f>
        <v>21816.649999999994</v>
      </c>
      <c r="E128" s="8" t="s">
        <v>8</v>
      </c>
      <c r="F128" s="8" t="s">
        <v>8</v>
      </c>
      <c r="G128" s="90">
        <f>95456-601</f>
        <v>94855</v>
      </c>
      <c r="H128" s="91"/>
    </row>
    <row r="129" spans="1:9" ht="15.75" thickBot="1" x14ac:dyDescent="0.3">
      <c r="A129" s="3" t="s">
        <v>9</v>
      </c>
      <c r="B129" s="6">
        <f>G129*77%</f>
        <v>73038.350000000006</v>
      </c>
      <c r="C129" s="12"/>
      <c r="D129" s="84">
        <f>G129-B129</f>
        <v>21816.649999999994</v>
      </c>
      <c r="E129" s="8" t="s">
        <v>8</v>
      </c>
      <c r="F129" s="8" t="s">
        <v>8</v>
      </c>
      <c r="G129" s="90">
        <f>G128</f>
        <v>94855</v>
      </c>
      <c r="H129" s="91"/>
    </row>
    <row r="130" spans="1:9" ht="15.75" thickBot="1" x14ac:dyDescent="0.3">
      <c r="A130" s="2" t="s">
        <v>10</v>
      </c>
      <c r="B130" s="6">
        <v>0</v>
      </c>
      <c r="C130" s="12"/>
      <c r="D130" s="6">
        <v>0</v>
      </c>
      <c r="E130" s="8" t="s">
        <v>8</v>
      </c>
      <c r="F130" s="8" t="s">
        <v>8</v>
      </c>
      <c r="G130" s="90">
        <v>0</v>
      </c>
      <c r="H130" s="91"/>
    </row>
    <row r="131" spans="1:9" ht="60.75" thickBot="1" x14ac:dyDescent="0.3">
      <c r="A131" s="2" t="s">
        <v>11</v>
      </c>
      <c r="B131" s="6">
        <f t="shared" ref="B131" si="3">G131*77%</f>
        <v>37091.67</v>
      </c>
      <c r="C131" s="12"/>
      <c r="D131" s="84">
        <f>G131-B131</f>
        <v>11079.330000000002</v>
      </c>
      <c r="E131" s="8" t="s">
        <v>8</v>
      </c>
      <c r="F131" s="8" t="s">
        <v>8</v>
      </c>
      <c r="G131" s="90">
        <f>48480-309</f>
        <v>48171</v>
      </c>
      <c r="H131" s="91"/>
    </row>
    <row r="132" spans="1:9" ht="30.75" thickBot="1" x14ac:dyDescent="0.3">
      <c r="A132" s="2" t="s">
        <v>12</v>
      </c>
      <c r="B132" s="6">
        <f>G132*77%</f>
        <v>700.7</v>
      </c>
      <c r="C132" s="12"/>
      <c r="D132" s="84">
        <f>G132-B132</f>
        <v>209.29999999999995</v>
      </c>
      <c r="E132" s="8" t="s">
        <v>8</v>
      </c>
      <c r="F132" s="8" t="s">
        <v>8</v>
      </c>
      <c r="G132" s="90">
        <f>601+309</f>
        <v>910</v>
      </c>
      <c r="H132" s="91"/>
      <c r="I132" s="10">
        <f>G129+G131+G132</f>
        <v>143936</v>
      </c>
    </row>
    <row r="133" spans="1:9" ht="15.75" thickBot="1" x14ac:dyDescent="0.3">
      <c r="A133" s="2" t="s">
        <v>13</v>
      </c>
      <c r="B133" s="6">
        <f>G133*56%</f>
        <v>4521.4400000000005</v>
      </c>
      <c r="C133" s="6"/>
      <c r="D133" s="84">
        <f>G133-B133</f>
        <v>3552.5599999999995</v>
      </c>
      <c r="E133" s="8" t="s">
        <v>8</v>
      </c>
      <c r="F133" s="8" t="s">
        <v>8</v>
      </c>
      <c r="G133" s="90">
        <f>817+7257</f>
        <v>8074</v>
      </c>
      <c r="H133" s="91"/>
    </row>
    <row r="134" spans="1:9" ht="30.75" thickBot="1" x14ac:dyDescent="0.3">
      <c r="A134" s="2" t="s">
        <v>14</v>
      </c>
      <c r="B134" s="6">
        <f>G134*56%</f>
        <v>2304.4</v>
      </c>
      <c r="C134" s="6"/>
      <c r="D134" s="84">
        <f>G134-B134</f>
        <v>1810.6</v>
      </c>
      <c r="E134" s="8" t="s">
        <v>8</v>
      </c>
      <c r="F134" s="8" t="s">
        <v>8</v>
      </c>
      <c r="G134" s="90">
        <f>12189-G133</f>
        <v>4115</v>
      </c>
      <c r="H134" s="91"/>
    </row>
    <row r="135" spans="1:9" ht="45.75" thickBot="1" x14ac:dyDescent="0.3">
      <c r="A135" s="2" t="s">
        <v>15</v>
      </c>
      <c r="B135" s="8" t="s">
        <v>8</v>
      </c>
      <c r="C135" s="8" t="s">
        <v>8</v>
      </c>
      <c r="D135" s="6"/>
      <c r="E135" s="8" t="s">
        <v>8</v>
      </c>
      <c r="F135" s="8" t="s">
        <v>8</v>
      </c>
      <c r="G135" s="90"/>
      <c r="H135" s="91"/>
    </row>
    <row r="136" spans="1:9" ht="15.75" thickBot="1" x14ac:dyDescent="0.3">
      <c r="A136" s="2" t="s">
        <v>16</v>
      </c>
      <c r="B136" s="8" t="s">
        <v>8</v>
      </c>
      <c r="C136" s="8" t="s">
        <v>8</v>
      </c>
      <c r="D136" s="12"/>
      <c r="E136" s="6">
        <v>0</v>
      </c>
      <c r="F136" s="6"/>
      <c r="G136" s="90">
        <v>0</v>
      </c>
      <c r="H136" s="91"/>
    </row>
    <row r="137" spans="1:9" ht="15.75" thickBot="1" x14ac:dyDescent="0.3">
      <c r="A137" s="3" t="s">
        <v>17</v>
      </c>
      <c r="B137" s="6">
        <f>G137*56%</f>
        <v>0</v>
      </c>
      <c r="C137" s="8"/>
      <c r="D137" s="6"/>
      <c r="E137" s="6">
        <f>G137-B137</f>
        <v>0</v>
      </c>
      <c r="F137" s="6"/>
      <c r="G137" s="90">
        <v>0</v>
      </c>
      <c r="H137" s="91"/>
    </row>
    <row r="138" spans="1:9" ht="15.75" thickBot="1" x14ac:dyDescent="0.3">
      <c r="A138" s="3" t="s">
        <v>18</v>
      </c>
      <c r="B138" s="6"/>
      <c r="C138" s="8"/>
      <c r="D138" s="8"/>
      <c r="E138" s="6"/>
      <c r="F138" s="6"/>
      <c r="G138" s="90"/>
      <c r="H138" s="91"/>
    </row>
    <row r="139" spans="1:9" ht="45.75" thickBot="1" x14ac:dyDescent="0.3">
      <c r="A139" s="2" t="s">
        <v>19</v>
      </c>
      <c r="B139" s="6"/>
      <c r="C139" s="8"/>
      <c r="D139" s="6"/>
      <c r="E139" s="6"/>
      <c r="F139" s="6"/>
      <c r="G139" s="94"/>
      <c r="H139" s="95"/>
    </row>
    <row r="140" spans="1:9" ht="30.75" thickBot="1" x14ac:dyDescent="0.3">
      <c r="A140" s="2" t="s">
        <v>20</v>
      </c>
      <c r="B140" s="6"/>
      <c r="C140" s="8"/>
      <c r="D140" s="6"/>
      <c r="E140" s="6">
        <v>28460</v>
      </c>
      <c r="F140" s="6"/>
      <c r="G140" s="90">
        <v>28797</v>
      </c>
      <c r="H140" s="91"/>
    </row>
    <row r="141" spans="1:9" ht="30.75" thickBot="1" x14ac:dyDescent="0.3">
      <c r="A141" s="2" t="s">
        <v>21</v>
      </c>
      <c r="B141" s="6">
        <f>G141*56%</f>
        <v>7386.4000000000005</v>
      </c>
      <c r="C141" s="6"/>
      <c r="D141" s="84">
        <f>G141-B141</f>
        <v>5803.5999999999995</v>
      </c>
      <c r="E141" s="8" t="s">
        <v>8</v>
      </c>
      <c r="F141" s="8" t="s">
        <v>8</v>
      </c>
      <c r="G141" s="90">
        <f>13190-G137</f>
        <v>13190</v>
      </c>
      <c r="H141" s="91"/>
    </row>
    <row r="142" spans="1:9" ht="15.75" thickBot="1" x14ac:dyDescent="0.3">
      <c r="A142" s="3" t="s">
        <v>22</v>
      </c>
      <c r="B142" s="6">
        <f>G142*56%</f>
        <v>16262.400000000001</v>
      </c>
      <c r="C142" s="6"/>
      <c r="D142" s="84">
        <f>G142-B142</f>
        <v>12777.599999999999</v>
      </c>
      <c r="E142" s="8" t="s">
        <v>8</v>
      </c>
      <c r="F142" s="8" t="s">
        <v>8</v>
      </c>
      <c r="G142" s="90">
        <f>17114+3849+7050+1027</f>
        <v>29040</v>
      </c>
      <c r="H142" s="91"/>
    </row>
    <row r="143" spans="1:9" ht="15.75" thickBot="1" x14ac:dyDescent="0.3">
      <c r="A143" s="3" t="s">
        <v>23</v>
      </c>
      <c r="B143" s="8" t="s">
        <v>8</v>
      </c>
      <c r="C143" s="12"/>
      <c r="D143" s="8" t="s">
        <v>8</v>
      </c>
      <c r="E143" s="8" t="s">
        <v>8</v>
      </c>
      <c r="F143" s="8" t="s">
        <v>8</v>
      </c>
      <c r="G143" s="94"/>
      <c r="H143" s="95"/>
    </row>
    <row r="144" spans="1:9" ht="15.75" thickBot="1" x14ac:dyDescent="0.3">
      <c r="A144" s="3" t="s">
        <v>24</v>
      </c>
      <c r="B144" s="6"/>
      <c r="C144" s="6"/>
      <c r="D144" s="6"/>
      <c r="E144" s="8" t="s">
        <v>8</v>
      </c>
      <c r="F144" s="8" t="s">
        <v>8</v>
      </c>
      <c r="G144" s="90"/>
      <c r="H144" s="91"/>
    </row>
    <row r="145" spans="1:11" ht="15.75" thickBot="1" x14ac:dyDescent="0.3">
      <c r="A145" s="4" t="s">
        <v>25</v>
      </c>
      <c r="B145" s="6">
        <f>SUM(B129:B144)</f>
        <v>141305.35999999999</v>
      </c>
      <c r="C145" s="6"/>
      <c r="D145" s="6">
        <f>SUM(D129:D144)</f>
        <v>57049.639999999992</v>
      </c>
      <c r="E145" s="6">
        <f>SUM(E129:E144)</f>
        <v>28460</v>
      </c>
      <c r="F145" s="6"/>
      <c r="G145" s="90">
        <f>SUM(G129:H144)</f>
        <v>227152</v>
      </c>
      <c r="H145" s="91"/>
      <c r="I145" s="10">
        <f>198355-G145</f>
        <v>-28797</v>
      </c>
    </row>
    <row r="146" spans="1:11" x14ac:dyDescent="0.25">
      <c r="A146" s="92" t="s">
        <v>26</v>
      </c>
      <c r="B146" s="92"/>
      <c r="C146" s="92"/>
      <c r="D146" s="92"/>
      <c r="E146" s="92"/>
      <c r="F146" s="92"/>
      <c r="G146" s="92"/>
      <c r="H146" s="92"/>
    </row>
    <row r="147" spans="1:11" x14ac:dyDescent="0.25">
      <c r="A147" s="93" t="s">
        <v>27</v>
      </c>
      <c r="B147" s="93"/>
      <c r="C147" s="93"/>
      <c r="D147" s="93"/>
      <c r="E147" s="93"/>
      <c r="F147" s="93"/>
      <c r="G147" s="93"/>
      <c r="H147" s="93"/>
    </row>
    <row r="148" spans="1:11" x14ac:dyDescent="0.25">
      <c r="A148" s="93" t="s">
        <v>28</v>
      </c>
      <c r="B148" s="93"/>
      <c r="C148" s="93"/>
      <c r="D148" s="93"/>
      <c r="E148" s="93"/>
      <c r="F148" s="93"/>
      <c r="G148" s="93"/>
      <c r="H148" s="93"/>
      <c r="K148" s="10">
        <f>G575-G570</f>
        <v>263164</v>
      </c>
    </row>
    <row r="149" spans="1:11" x14ac:dyDescent="0.25">
      <c r="B149" s="10" t="s">
        <v>235</v>
      </c>
      <c r="C149" s="10">
        <v>106220</v>
      </c>
      <c r="K149" s="10">
        <f>K148-244898</f>
        <v>18266</v>
      </c>
    </row>
    <row r="150" spans="1:11" x14ac:dyDescent="0.25">
      <c r="C150" s="10">
        <f>C149-B145</f>
        <v>-35085.359999999986</v>
      </c>
    </row>
    <row r="155" spans="1:11" x14ac:dyDescent="0.25">
      <c r="A155" s="85"/>
      <c r="B155" s="86"/>
      <c r="C155" s="86"/>
      <c r="D155" s="86"/>
      <c r="E155" s="112" t="s">
        <v>29</v>
      </c>
      <c r="F155" s="112"/>
      <c r="G155" s="112"/>
      <c r="H155" s="112"/>
    </row>
    <row r="156" spans="1:11" x14ac:dyDescent="0.25">
      <c r="A156" s="113"/>
      <c r="B156" s="114"/>
      <c r="C156" s="114"/>
      <c r="D156" s="115"/>
      <c r="E156" s="115" t="s">
        <v>0</v>
      </c>
      <c r="F156" s="115"/>
      <c r="G156" s="115"/>
      <c r="H156" s="115"/>
    </row>
    <row r="157" spans="1:11" x14ac:dyDescent="0.25">
      <c r="A157" s="113"/>
      <c r="B157" s="114"/>
      <c r="C157" s="114"/>
      <c r="D157" s="115"/>
      <c r="E157" s="128" t="s">
        <v>31</v>
      </c>
      <c r="F157" s="115"/>
      <c r="G157" s="115"/>
      <c r="H157" s="115"/>
    </row>
    <row r="158" spans="1:11" ht="15.75" thickBot="1" x14ac:dyDescent="0.3">
      <c r="A158" s="98" t="s">
        <v>236</v>
      </c>
      <c r="B158" s="98"/>
      <c r="C158" s="98"/>
      <c r="D158" s="98"/>
      <c r="E158" s="98"/>
      <c r="F158" s="98"/>
      <c r="G158" s="98"/>
      <c r="H158" s="98"/>
    </row>
    <row r="159" spans="1:11" x14ac:dyDescent="0.25">
      <c r="A159" s="100" t="s">
        <v>2</v>
      </c>
      <c r="B159" s="103" t="s">
        <v>30</v>
      </c>
      <c r="C159" s="104"/>
      <c r="D159" s="104"/>
      <c r="E159" s="104"/>
      <c r="F159" s="104"/>
      <c r="G159" s="105" t="s">
        <v>3</v>
      </c>
      <c r="H159" s="106"/>
    </row>
    <row r="160" spans="1:11" ht="135.75" thickBot="1" x14ac:dyDescent="0.3">
      <c r="A160" s="124"/>
      <c r="B160" s="105" t="s">
        <v>30</v>
      </c>
      <c r="C160" s="105"/>
      <c r="D160" s="15" t="s">
        <v>32</v>
      </c>
      <c r="E160" s="105" t="s">
        <v>4</v>
      </c>
      <c r="F160" s="105"/>
      <c r="G160" s="125"/>
      <c r="H160" s="109"/>
    </row>
    <row r="161" spans="1:9" ht="165.75" thickBot="1" x14ac:dyDescent="0.3">
      <c r="A161" s="102"/>
      <c r="B161" s="14" t="s">
        <v>36</v>
      </c>
      <c r="C161" s="83" t="s">
        <v>5</v>
      </c>
      <c r="D161" s="15" t="s">
        <v>33</v>
      </c>
      <c r="E161" s="83" t="s">
        <v>34</v>
      </c>
      <c r="F161" s="89" t="s">
        <v>35</v>
      </c>
      <c r="G161" s="110"/>
      <c r="H161" s="111"/>
    </row>
    <row r="162" spans="1:9" ht="15.75" thickBot="1" x14ac:dyDescent="0.3">
      <c r="A162" s="82">
        <v>1</v>
      </c>
      <c r="B162" s="89">
        <v>2</v>
      </c>
      <c r="C162" s="11">
        <v>3</v>
      </c>
      <c r="D162" s="89">
        <v>4</v>
      </c>
      <c r="E162" s="11">
        <v>5</v>
      </c>
      <c r="F162" s="89">
        <v>6</v>
      </c>
      <c r="G162" s="96" t="s">
        <v>6</v>
      </c>
      <c r="H162" s="97"/>
    </row>
    <row r="163" spans="1:9" ht="60.75" thickBot="1" x14ac:dyDescent="0.3">
      <c r="A163" s="2" t="s">
        <v>7</v>
      </c>
      <c r="B163" s="6">
        <f>B164</f>
        <v>91667.73</v>
      </c>
      <c r="C163" s="12"/>
      <c r="D163" s="6">
        <f>D164</f>
        <v>27381.270000000004</v>
      </c>
      <c r="E163" s="8" t="s">
        <v>8</v>
      </c>
      <c r="F163" s="8" t="s">
        <v>8</v>
      </c>
      <c r="G163" s="90">
        <f>119802-753</f>
        <v>119049</v>
      </c>
      <c r="H163" s="91"/>
    </row>
    <row r="164" spans="1:9" ht="15.75" thickBot="1" x14ac:dyDescent="0.3">
      <c r="A164" s="3" t="s">
        <v>9</v>
      </c>
      <c r="B164" s="6">
        <f>G164*77%</f>
        <v>91667.73</v>
      </c>
      <c r="C164" s="12"/>
      <c r="D164" s="84">
        <f>G164-B164</f>
        <v>27381.270000000004</v>
      </c>
      <c r="E164" s="8" t="s">
        <v>8</v>
      </c>
      <c r="F164" s="8" t="s">
        <v>8</v>
      </c>
      <c r="G164" s="90">
        <f>G163</f>
        <v>119049</v>
      </c>
      <c r="H164" s="91"/>
    </row>
    <row r="165" spans="1:9" ht="15.75" thickBot="1" x14ac:dyDescent="0.3">
      <c r="A165" s="2" t="s">
        <v>10</v>
      </c>
      <c r="B165" s="6">
        <v>0</v>
      </c>
      <c r="C165" s="12"/>
      <c r="D165" s="6">
        <v>0</v>
      </c>
      <c r="E165" s="8" t="s">
        <v>8</v>
      </c>
      <c r="F165" s="8" t="s">
        <v>8</v>
      </c>
      <c r="G165" s="90">
        <v>0</v>
      </c>
      <c r="H165" s="91"/>
    </row>
    <row r="166" spans="1:9" ht="60.75" thickBot="1" x14ac:dyDescent="0.3">
      <c r="A166" s="2" t="s">
        <v>11</v>
      </c>
      <c r="B166" s="6">
        <f>G166*77%</f>
        <v>46436.39</v>
      </c>
      <c r="C166" s="12"/>
      <c r="D166" s="84">
        <f>G166-B166</f>
        <v>13870.61</v>
      </c>
      <c r="E166" s="8" t="s">
        <v>8</v>
      </c>
      <c r="F166" s="8" t="s">
        <v>8</v>
      </c>
      <c r="G166" s="90">
        <f>60700-393</f>
        <v>60307</v>
      </c>
      <c r="H166" s="91"/>
    </row>
    <row r="167" spans="1:9" ht="30.75" thickBot="1" x14ac:dyDescent="0.3">
      <c r="A167" s="2" t="s">
        <v>12</v>
      </c>
      <c r="B167" s="6">
        <f>G167*77%</f>
        <v>882.42000000000007</v>
      </c>
      <c r="C167" s="12"/>
      <c r="D167" s="84">
        <f>G167-B167</f>
        <v>263.57999999999993</v>
      </c>
      <c r="E167" s="8" t="s">
        <v>8</v>
      </c>
      <c r="F167" s="8" t="s">
        <v>8</v>
      </c>
      <c r="G167" s="90">
        <f>753+393</f>
        <v>1146</v>
      </c>
      <c r="H167" s="91"/>
      <c r="I167" s="10">
        <f>G164+G166+G167</f>
        <v>180502</v>
      </c>
    </row>
    <row r="168" spans="1:9" ht="15.75" thickBot="1" x14ac:dyDescent="0.3">
      <c r="A168" s="2" t="s">
        <v>13</v>
      </c>
      <c r="B168" s="6">
        <f>G168*56%</f>
        <v>4894.96</v>
      </c>
      <c r="C168" s="6"/>
      <c r="D168" s="84">
        <f>G168-B168</f>
        <v>3846.04</v>
      </c>
      <c r="E168" s="8" t="s">
        <v>8</v>
      </c>
      <c r="F168" s="8" t="s">
        <v>8</v>
      </c>
      <c r="G168" s="90">
        <f>1484+7257</f>
        <v>8741</v>
      </c>
      <c r="H168" s="91"/>
    </row>
    <row r="169" spans="1:9" ht="30.75" thickBot="1" x14ac:dyDescent="0.3">
      <c r="A169" s="2" t="s">
        <v>14</v>
      </c>
      <c r="B169" s="6">
        <f>G169*56%</f>
        <v>2335.7600000000002</v>
      </c>
      <c r="C169" s="6"/>
      <c r="D169" s="84">
        <f>G169-B169</f>
        <v>1835.2399999999998</v>
      </c>
      <c r="E169" s="8" t="s">
        <v>8</v>
      </c>
      <c r="F169" s="8" t="s">
        <v>8</v>
      </c>
      <c r="G169" s="90">
        <f>12912-G168</f>
        <v>4171</v>
      </c>
      <c r="H169" s="91"/>
    </row>
    <row r="170" spans="1:9" ht="45.75" thickBot="1" x14ac:dyDescent="0.3">
      <c r="A170" s="2" t="s">
        <v>15</v>
      </c>
      <c r="B170" s="8" t="s">
        <v>8</v>
      </c>
      <c r="C170" s="8" t="s">
        <v>8</v>
      </c>
      <c r="D170" s="6"/>
      <c r="E170" s="8" t="s">
        <v>8</v>
      </c>
      <c r="F170" s="8" t="s">
        <v>8</v>
      </c>
      <c r="G170" s="90"/>
      <c r="H170" s="91"/>
    </row>
    <row r="171" spans="1:9" ht="15.75" thickBot="1" x14ac:dyDescent="0.3">
      <c r="A171" s="2" t="s">
        <v>16</v>
      </c>
      <c r="B171" s="8" t="s">
        <v>8</v>
      </c>
      <c r="C171" s="8" t="s">
        <v>8</v>
      </c>
      <c r="D171" s="12"/>
      <c r="E171" s="6">
        <v>390</v>
      </c>
      <c r="F171" s="6"/>
      <c r="G171" s="90">
        <v>390</v>
      </c>
      <c r="H171" s="91"/>
    </row>
    <row r="172" spans="1:9" ht="15.75" thickBot="1" x14ac:dyDescent="0.3">
      <c r="A172" s="3" t="s">
        <v>17</v>
      </c>
      <c r="B172" s="6">
        <f>G172*56%</f>
        <v>0</v>
      </c>
      <c r="C172" s="8"/>
      <c r="D172" s="6"/>
      <c r="E172" s="6">
        <f>G172-B172</f>
        <v>0</v>
      </c>
      <c r="F172" s="6"/>
      <c r="G172" s="90">
        <v>0</v>
      </c>
      <c r="H172" s="91"/>
    </row>
    <row r="173" spans="1:9" ht="15.75" thickBot="1" x14ac:dyDescent="0.3">
      <c r="A173" s="3" t="s">
        <v>18</v>
      </c>
      <c r="B173" s="6"/>
      <c r="C173" s="8"/>
      <c r="D173" s="8"/>
      <c r="E173" s="6"/>
      <c r="F173" s="6"/>
      <c r="G173" s="90"/>
      <c r="H173" s="91"/>
    </row>
    <row r="174" spans="1:9" ht="45.75" thickBot="1" x14ac:dyDescent="0.3">
      <c r="A174" s="2" t="s">
        <v>19</v>
      </c>
      <c r="B174" s="6"/>
      <c r="C174" s="8"/>
      <c r="D174" s="6"/>
      <c r="E174" s="6"/>
      <c r="F174" s="6"/>
      <c r="G174" s="94"/>
      <c r="H174" s="95"/>
    </row>
    <row r="175" spans="1:9" ht="30.75" thickBot="1" x14ac:dyDescent="0.3">
      <c r="A175" s="2" t="s">
        <v>20</v>
      </c>
      <c r="B175" s="6"/>
      <c r="C175" s="8"/>
      <c r="D175" s="6"/>
      <c r="E175" s="6">
        <v>35673</v>
      </c>
      <c r="F175" s="6"/>
      <c r="G175" s="90">
        <v>35966</v>
      </c>
      <c r="H175" s="91"/>
    </row>
    <row r="176" spans="1:9" ht="30.75" thickBot="1" x14ac:dyDescent="0.3">
      <c r="A176" s="2" t="s">
        <v>21</v>
      </c>
      <c r="B176" s="6">
        <f>G176*56%</f>
        <v>10933.44</v>
      </c>
      <c r="C176" s="6"/>
      <c r="D176" s="84">
        <f>G176-B176</f>
        <v>8590.56</v>
      </c>
      <c r="E176" s="8" t="s">
        <v>8</v>
      </c>
      <c r="F176" s="8" t="s">
        <v>8</v>
      </c>
      <c r="G176" s="90">
        <f>19914-G171</f>
        <v>19524</v>
      </c>
      <c r="H176" s="91"/>
    </row>
    <row r="177" spans="1:11" ht="15.75" thickBot="1" x14ac:dyDescent="0.3">
      <c r="A177" s="3" t="s">
        <v>22</v>
      </c>
      <c r="B177" s="6">
        <f>G177*56%</f>
        <v>16965.2</v>
      </c>
      <c r="C177" s="6"/>
      <c r="D177" s="84">
        <f>G177-B177</f>
        <v>13329.8</v>
      </c>
      <c r="E177" s="8" t="s">
        <v>8</v>
      </c>
      <c r="F177" s="8" t="s">
        <v>8</v>
      </c>
      <c r="G177" s="90">
        <f>17114+3849+8246+1086</f>
        <v>30295</v>
      </c>
      <c r="H177" s="91"/>
    </row>
    <row r="178" spans="1:11" ht="15.75" thickBot="1" x14ac:dyDescent="0.3">
      <c r="A178" s="3" t="s">
        <v>23</v>
      </c>
      <c r="B178" s="8" t="s">
        <v>8</v>
      </c>
      <c r="C178" s="12"/>
      <c r="D178" s="8" t="s">
        <v>8</v>
      </c>
      <c r="E178" s="8" t="s">
        <v>8</v>
      </c>
      <c r="F178" s="8" t="s">
        <v>8</v>
      </c>
      <c r="G178" s="94"/>
      <c r="H178" s="95"/>
    </row>
    <row r="179" spans="1:11" ht="15.75" thickBot="1" x14ac:dyDescent="0.3">
      <c r="A179" s="3" t="s">
        <v>24</v>
      </c>
      <c r="B179" s="6"/>
      <c r="C179" s="6"/>
      <c r="D179" s="6"/>
      <c r="E179" s="8" t="s">
        <v>8</v>
      </c>
      <c r="F179" s="8" t="s">
        <v>8</v>
      </c>
      <c r="G179" s="90"/>
      <c r="H179" s="91"/>
    </row>
    <row r="180" spans="1:11" ht="15.75" thickBot="1" x14ac:dyDescent="0.3">
      <c r="A180" s="4" t="s">
        <v>25</v>
      </c>
      <c r="B180" s="6">
        <f>SUM(B164:B179)</f>
        <v>174115.90000000002</v>
      </c>
      <c r="C180" s="6"/>
      <c r="D180" s="6">
        <f>SUM(D164:D179)</f>
        <v>69117.100000000006</v>
      </c>
      <c r="E180" s="6">
        <f>SUM(E164:E179)</f>
        <v>36063</v>
      </c>
      <c r="F180" s="6"/>
      <c r="G180" s="90">
        <f>SUM(G164:H179)</f>
        <v>279589</v>
      </c>
      <c r="H180" s="91"/>
    </row>
    <row r="181" spans="1:11" x14ac:dyDescent="0.25">
      <c r="A181" s="92" t="s">
        <v>26</v>
      </c>
      <c r="B181" s="92"/>
      <c r="C181" s="92"/>
      <c r="D181" s="92"/>
      <c r="E181" s="92"/>
      <c r="F181" s="92"/>
      <c r="G181" s="92"/>
      <c r="H181" s="92"/>
    </row>
    <row r="182" spans="1:11" x14ac:dyDescent="0.25">
      <c r="A182" s="93" t="s">
        <v>27</v>
      </c>
      <c r="B182" s="93"/>
      <c r="C182" s="93"/>
      <c r="D182" s="93"/>
      <c r="E182" s="93"/>
      <c r="F182" s="93"/>
      <c r="G182" s="93"/>
      <c r="H182" s="93"/>
    </row>
    <row r="183" spans="1:11" x14ac:dyDescent="0.25">
      <c r="A183" s="93" t="s">
        <v>28</v>
      </c>
      <c r="B183" s="93"/>
      <c r="C183" s="93"/>
      <c r="D183" s="93"/>
      <c r="E183" s="93"/>
      <c r="F183" s="93"/>
      <c r="G183" s="93"/>
      <c r="H183" s="93"/>
      <c r="K183" s="10">
        <f>243623-G180</f>
        <v>-35966</v>
      </c>
    </row>
    <row r="184" spans="1:11" x14ac:dyDescent="0.25">
      <c r="B184" s="10" t="s">
        <v>237</v>
      </c>
      <c r="C184" s="10">
        <v>173313</v>
      </c>
      <c r="K184" s="10">
        <f>K183+G175</f>
        <v>0</v>
      </c>
    </row>
    <row r="185" spans="1:11" x14ac:dyDescent="0.25">
      <c r="C185" s="10">
        <f>C184-B180</f>
        <v>-802.90000000002328</v>
      </c>
    </row>
    <row r="189" spans="1:11" x14ac:dyDescent="0.25">
      <c r="A189" s="85"/>
      <c r="B189" s="86"/>
      <c r="C189" s="86"/>
      <c r="D189" s="86"/>
      <c r="E189" s="112" t="s">
        <v>29</v>
      </c>
      <c r="F189" s="112"/>
      <c r="G189" s="112"/>
      <c r="H189" s="112"/>
    </row>
    <row r="190" spans="1:11" x14ac:dyDescent="0.25">
      <c r="A190" s="113"/>
      <c r="B190" s="114"/>
      <c r="C190" s="114"/>
      <c r="D190" s="115"/>
      <c r="E190" s="115" t="s">
        <v>0</v>
      </c>
      <c r="F190" s="115"/>
      <c r="G190" s="115"/>
      <c r="H190" s="115"/>
    </row>
    <row r="191" spans="1:11" x14ac:dyDescent="0.25">
      <c r="A191" s="113"/>
      <c r="B191" s="114"/>
      <c r="C191" s="114"/>
      <c r="D191" s="115"/>
      <c r="E191" s="128" t="s">
        <v>31</v>
      </c>
      <c r="F191" s="115"/>
      <c r="G191" s="115"/>
      <c r="H191" s="115"/>
    </row>
    <row r="192" spans="1:11" ht="15.75" thickBot="1" x14ac:dyDescent="0.3">
      <c r="A192" s="98" t="s">
        <v>238</v>
      </c>
      <c r="B192" s="98"/>
      <c r="C192" s="98"/>
      <c r="D192" s="98"/>
      <c r="E192" s="98"/>
      <c r="F192" s="98"/>
      <c r="G192" s="98"/>
      <c r="H192" s="98"/>
    </row>
    <row r="193" spans="1:9" x14ac:dyDescent="0.25">
      <c r="A193" s="100" t="s">
        <v>2</v>
      </c>
      <c r="B193" s="103" t="s">
        <v>30</v>
      </c>
      <c r="C193" s="104"/>
      <c r="D193" s="104"/>
      <c r="E193" s="104"/>
      <c r="F193" s="104"/>
      <c r="G193" s="105" t="s">
        <v>3</v>
      </c>
      <c r="H193" s="106"/>
    </row>
    <row r="194" spans="1:9" ht="135.75" thickBot="1" x14ac:dyDescent="0.3">
      <c r="A194" s="124"/>
      <c r="B194" s="105" t="s">
        <v>30</v>
      </c>
      <c r="C194" s="105"/>
      <c r="D194" s="15" t="s">
        <v>32</v>
      </c>
      <c r="E194" s="105" t="s">
        <v>4</v>
      </c>
      <c r="F194" s="105"/>
      <c r="G194" s="125"/>
      <c r="H194" s="109"/>
    </row>
    <row r="195" spans="1:9" ht="165.75" thickBot="1" x14ac:dyDescent="0.3">
      <c r="A195" s="102"/>
      <c r="B195" s="14" t="s">
        <v>36</v>
      </c>
      <c r="C195" s="83" t="s">
        <v>5</v>
      </c>
      <c r="D195" s="15" t="s">
        <v>33</v>
      </c>
      <c r="E195" s="83" t="s">
        <v>34</v>
      </c>
      <c r="F195" s="89" t="s">
        <v>35</v>
      </c>
      <c r="G195" s="110"/>
      <c r="H195" s="111"/>
    </row>
    <row r="196" spans="1:9" ht="15.75" thickBot="1" x14ac:dyDescent="0.3">
      <c r="A196" s="82">
        <v>1</v>
      </c>
      <c r="B196" s="89">
        <v>2</v>
      </c>
      <c r="C196" s="11">
        <v>3</v>
      </c>
      <c r="D196" s="89">
        <v>4</v>
      </c>
      <c r="E196" s="11">
        <v>5</v>
      </c>
      <c r="F196" s="89">
        <v>6</v>
      </c>
      <c r="G196" s="96" t="s">
        <v>6</v>
      </c>
      <c r="H196" s="97"/>
    </row>
    <row r="197" spans="1:9" ht="60.75" thickBot="1" x14ac:dyDescent="0.3">
      <c r="A197" s="2" t="s">
        <v>7</v>
      </c>
      <c r="B197" s="6">
        <f>B198</f>
        <v>110417.23</v>
      </c>
      <c r="C197" s="12"/>
      <c r="D197" s="6">
        <f>D198</f>
        <v>32981.770000000004</v>
      </c>
      <c r="E197" s="8" t="s">
        <v>8</v>
      </c>
      <c r="F197" s="8" t="s">
        <v>8</v>
      </c>
      <c r="G197" s="90">
        <f>145229-920-910</f>
        <v>143399</v>
      </c>
      <c r="H197" s="91"/>
    </row>
    <row r="198" spans="1:9" ht="15.75" thickBot="1" x14ac:dyDescent="0.3">
      <c r="A198" s="3" t="s">
        <v>9</v>
      </c>
      <c r="B198" s="6">
        <f>G198*77%</f>
        <v>110417.23</v>
      </c>
      <c r="C198" s="12"/>
      <c r="D198" s="84">
        <f>G198-B198</f>
        <v>32981.770000000004</v>
      </c>
      <c r="E198" s="8" t="s">
        <v>8</v>
      </c>
      <c r="F198" s="8" t="s">
        <v>8</v>
      </c>
      <c r="G198" s="90">
        <f>G197</f>
        <v>143399</v>
      </c>
      <c r="H198" s="91"/>
    </row>
    <row r="199" spans="1:9" ht="15.75" thickBot="1" x14ac:dyDescent="0.3">
      <c r="A199" s="2" t="s">
        <v>10</v>
      </c>
      <c r="B199" s="6">
        <v>0</v>
      </c>
      <c r="C199" s="12"/>
      <c r="D199" s="6">
        <v>0</v>
      </c>
      <c r="E199" s="8" t="s">
        <v>8</v>
      </c>
      <c r="F199" s="8" t="s">
        <v>8</v>
      </c>
      <c r="G199" s="90">
        <v>0</v>
      </c>
      <c r="H199" s="91"/>
    </row>
    <row r="200" spans="1:9" ht="60.75" thickBot="1" x14ac:dyDescent="0.3">
      <c r="A200" s="2" t="s">
        <v>11</v>
      </c>
      <c r="B200" s="6">
        <f>G200*77%</f>
        <v>55803.44</v>
      </c>
      <c r="C200" s="12"/>
      <c r="D200" s="84">
        <f>G200-B200</f>
        <v>16668.559999999998</v>
      </c>
      <c r="E200" s="8" t="s">
        <v>8</v>
      </c>
      <c r="F200" s="8" t="s">
        <v>8</v>
      </c>
      <c r="G200" s="90">
        <f>72949-477</f>
        <v>72472</v>
      </c>
      <c r="H200" s="91"/>
    </row>
    <row r="201" spans="1:9" ht="30.75" thickBot="1" x14ac:dyDescent="0.3">
      <c r="A201" s="2" t="s">
        <v>12</v>
      </c>
      <c r="B201" s="6">
        <f>G201*77%</f>
        <v>1776.39</v>
      </c>
      <c r="C201" s="12"/>
      <c r="D201" s="84">
        <f>G201-B201</f>
        <v>530.6099999999999</v>
      </c>
      <c r="E201" s="8" t="s">
        <v>8</v>
      </c>
      <c r="F201" s="8" t="s">
        <v>8</v>
      </c>
      <c r="G201" s="90">
        <f>477+920+910</f>
        <v>2307</v>
      </c>
      <c r="H201" s="91"/>
      <c r="I201" s="10">
        <f>G198+G200+G201</f>
        <v>218178</v>
      </c>
    </row>
    <row r="202" spans="1:9" ht="15.75" thickBot="1" x14ac:dyDescent="0.3">
      <c r="A202" s="2" t="s">
        <v>13</v>
      </c>
      <c r="B202" s="6">
        <f>G202*56%</f>
        <v>5249.4400000000005</v>
      </c>
      <c r="C202" s="6"/>
      <c r="D202" s="84">
        <f>G202-B202</f>
        <v>4124.5599999999995</v>
      </c>
      <c r="E202" s="8" t="s">
        <v>8</v>
      </c>
      <c r="F202" s="8" t="s">
        <v>8</v>
      </c>
      <c r="G202" s="90">
        <f>1484+7890</f>
        <v>9374</v>
      </c>
      <c r="H202" s="91"/>
    </row>
    <row r="203" spans="1:9" ht="30.75" thickBot="1" x14ac:dyDescent="0.3">
      <c r="A203" s="2" t="s">
        <v>14</v>
      </c>
      <c r="B203" s="6">
        <f>G203*56%</f>
        <v>2336.3200000000002</v>
      </c>
      <c r="C203" s="6"/>
      <c r="D203" s="84">
        <f>G203-B203</f>
        <v>1835.6799999999998</v>
      </c>
      <c r="E203" s="8" t="s">
        <v>8</v>
      </c>
      <c r="F203" s="8" t="s">
        <v>8</v>
      </c>
      <c r="G203" s="90">
        <f>13546-G202</f>
        <v>4172</v>
      </c>
      <c r="H203" s="91"/>
    </row>
    <row r="204" spans="1:9" ht="45.75" thickBot="1" x14ac:dyDescent="0.3">
      <c r="A204" s="2" t="s">
        <v>15</v>
      </c>
      <c r="B204" s="8" t="s">
        <v>8</v>
      </c>
      <c r="C204" s="8" t="s">
        <v>8</v>
      </c>
      <c r="D204" s="6"/>
      <c r="E204" s="8" t="s">
        <v>8</v>
      </c>
      <c r="F204" s="8" t="s">
        <v>8</v>
      </c>
      <c r="G204" s="90">
        <v>0</v>
      </c>
      <c r="H204" s="91"/>
    </row>
    <row r="205" spans="1:9" ht="15.75" thickBot="1" x14ac:dyDescent="0.3">
      <c r="A205" s="2" t="s">
        <v>16</v>
      </c>
      <c r="B205" s="8" t="s">
        <v>8</v>
      </c>
      <c r="C205" s="8" t="s">
        <v>8</v>
      </c>
      <c r="D205" s="12"/>
      <c r="E205" s="6">
        <v>0</v>
      </c>
      <c r="F205" s="6"/>
      <c r="G205" s="90">
        <v>390</v>
      </c>
      <c r="H205" s="91"/>
    </row>
    <row r="206" spans="1:9" ht="15.75" thickBot="1" x14ac:dyDescent="0.3">
      <c r="A206" s="3" t="s">
        <v>17</v>
      </c>
      <c r="B206" s="6">
        <f>G206*56%</f>
        <v>0</v>
      </c>
      <c r="C206" s="8"/>
      <c r="D206" s="6"/>
      <c r="E206" s="6">
        <f>G206-B206</f>
        <v>0</v>
      </c>
      <c r="F206" s="6"/>
      <c r="G206" s="90">
        <v>0</v>
      </c>
      <c r="H206" s="91"/>
    </row>
    <row r="207" spans="1:9" ht="15.75" thickBot="1" x14ac:dyDescent="0.3">
      <c r="A207" s="3" t="s">
        <v>18</v>
      </c>
      <c r="B207" s="6"/>
      <c r="C207" s="8"/>
      <c r="D207" s="8"/>
      <c r="E207" s="6"/>
      <c r="F207" s="6"/>
      <c r="G207" s="90"/>
      <c r="H207" s="91"/>
    </row>
    <row r="208" spans="1:9" ht="45.75" thickBot="1" x14ac:dyDescent="0.3">
      <c r="A208" s="2" t="s">
        <v>19</v>
      </c>
      <c r="B208" s="6"/>
      <c r="C208" s="8"/>
      <c r="D208" s="6"/>
      <c r="E208" s="6"/>
      <c r="F208" s="6"/>
      <c r="G208" s="94"/>
      <c r="H208" s="95"/>
    </row>
    <row r="209" spans="1:11" ht="30.75" thickBot="1" x14ac:dyDescent="0.3">
      <c r="A209" s="2" t="s">
        <v>20</v>
      </c>
      <c r="B209" s="6"/>
      <c r="C209" s="8"/>
      <c r="D209" s="6"/>
      <c r="E209" s="6"/>
      <c r="F209" s="6"/>
      <c r="G209" s="90">
        <v>43135</v>
      </c>
      <c r="H209" s="91"/>
    </row>
    <row r="210" spans="1:11" ht="30.75" thickBot="1" x14ac:dyDescent="0.3">
      <c r="A210" s="2" t="s">
        <v>21</v>
      </c>
      <c r="B210" s="6">
        <f>G210*56%</f>
        <v>13146.560000000001</v>
      </c>
      <c r="C210" s="6"/>
      <c r="D210" s="84">
        <f>G210-B210</f>
        <v>10329.439999999999</v>
      </c>
      <c r="E210" s="8" t="s">
        <v>8</v>
      </c>
      <c r="F210" s="8" t="s">
        <v>8</v>
      </c>
      <c r="G210" s="90">
        <f>23866-G205</f>
        <v>23476</v>
      </c>
      <c r="H210" s="91"/>
    </row>
    <row r="211" spans="1:11" ht="15.75" thickBot="1" x14ac:dyDescent="0.3">
      <c r="A211" s="3" t="s">
        <v>22</v>
      </c>
      <c r="B211" s="6">
        <f>G211*56%</f>
        <v>17675.280000000002</v>
      </c>
      <c r="C211" s="6"/>
      <c r="D211" s="84">
        <f>G211-B211</f>
        <v>13887.719999999998</v>
      </c>
      <c r="E211" s="8" t="s">
        <v>8</v>
      </c>
      <c r="F211" s="8" t="s">
        <v>8</v>
      </c>
      <c r="G211" s="90">
        <f>17114+3849+9469+1131</f>
        <v>31563</v>
      </c>
      <c r="H211" s="91"/>
    </row>
    <row r="212" spans="1:11" ht="15.75" thickBot="1" x14ac:dyDescent="0.3">
      <c r="A212" s="3" t="s">
        <v>23</v>
      </c>
      <c r="B212" s="8" t="s">
        <v>8</v>
      </c>
      <c r="C212" s="12"/>
      <c r="D212" s="8" t="s">
        <v>8</v>
      </c>
      <c r="E212" s="8" t="s">
        <v>8</v>
      </c>
      <c r="F212" s="8" t="s">
        <v>8</v>
      </c>
      <c r="G212" s="94"/>
      <c r="H212" s="95"/>
    </row>
    <row r="213" spans="1:11" ht="15.75" thickBot="1" x14ac:dyDescent="0.3">
      <c r="A213" s="3" t="s">
        <v>24</v>
      </c>
      <c r="B213" s="6"/>
      <c r="C213" s="6"/>
      <c r="D213" s="6"/>
      <c r="E213" s="8" t="s">
        <v>8</v>
      </c>
      <c r="F213" s="8" t="s">
        <v>8</v>
      </c>
      <c r="G213" s="90"/>
      <c r="H213" s="91"/>
    </row>
    <row r="214" spans="1:11" ht="15.75" thickBot="1" x14ac:dyDescent="0.3">
      <c r="A214" s="4" t="s">
        <v>25</v>
      </c>
      <c r="B214" s="6">
        <f>SUM(B198:B213)</f>
        <v>206404.66</v>
      </c>
      <c r="C214" s="6"/>
      <c r="D214" s="6">
        <f>SUM(D198:D213)</f>
        <v>80358.34</v>
      </c>
      <c r="E214" s="6">
        <f>SUM(E198:E213)</f>
        <v>0</v>
      </c>
      <c r="F214" s="6"/>
      <c r="G214" s="90">
        <f>SUM(G198:H213)</f>
        <v>330288</v>
      </c>
      <c r="H214" s="91"/>
    </row>
    <row r="215" spans="1:11" x14ac:dyDescent="0.25">
      <c r="A215" s="92" t="s">
        <v>26</v>
      </c>
      <c r="B215" s="92"/>
      <c r="C215" s="92"/>
      <c r="D215" s="92"/>
      <c r="E215" s="92"/>
      <c r="F215" s="92"/>
      <c r="G215" s="92"/>
      <c r="H215" s="92"/>
    </row>
    <row r="216" spans="1:11" x14ac:dyDescent="0.25">
      <c r="A216" s="93" t="s">
        <v>27</v>
      </c>
      <c r="B216" s="93"/>
      <c r="C216" s="93"/>
      <c r="D216" s="93"/>
      <c r="E216" s="93"/>
      <c r="F216" s="93"/>
      <c r="G216" s="93"/>
      <c r="H216" s="93"/>
    </row>
    <row r="217" spans="1:11" x14ac:dyDescent="0.25">
      <c r="A217" s="93" t="s">
        <v>28</v>
      </c>
      <c r="B217" s="93"/>
      <c r="C217" s="93"/>
      <c r="D217" s="93"/>
      <c r="E217" s="93"/>
      <c r="F217" s="93"/>
      <c r="G217" s="93"/>
      <c r="H217" s="93"/>
      <c r="K217" s="10">
        <f>287153-G214</f>
        <v>-43135</v>
      </c>
    </row>
    <row r="218" spans="1:11" x14ac:dyDescent="0.25">
      <c r="B218" s="10" t="s">
        <v>239</v>
      </c>
      <c r="C218" s="10">
        <v>204291</v>
      </c>
      <c r="K218" s="10">
        <f>K217-244898</f>
        <v>-288033</v>
      </c>
    </row>
    <row r="219" spans="1:11" x14ac:dyDescent="0.25">
      <c r="C219" s="10">
        <f>C218-B214</f>
        <v>-2113.6600000000035</v>
      </c>
    </row>
    <row r="223" spans="1:11" x14ac:dyDescent="0.25">
      <c r="A223" s="85"/>
      <c r="B223" s="86"/>
      <c r="C223" s="86"/>
      <c r="D223" s="86"/>
      <c r="E223" s="112" t="s">
        <v>29</v>
      </c>
      <c r="F223" s="112"/>
      <c r="G223" s="112"/>
      <c r="H223" s="112"/>
    </row>
    <row r="224" spans="1:11" x14ac:dyDescent="0.25">
      <c r="A224" s="113"/>
      <c r="B224" s="114"/>
      <c r="C224" s="114"/>
      <c r="D224" s="115"/>
      <c r="E224" s="115" t="s">
        <v>0</v>
      </c>
      <c r="F224" s="115"/>
      <c r="G224" s="115"/>
      <c r="H224" s="115"/>
    </row>
    <row r="225" spans="1:9" x14ac:dyDescent="0.25">
      <c r="A225" s="113"/>
      <c r="B225" s="114"/>
      <c r="C225" s="114"/>
      <c r="D225" s="115"/>
      <c r="E225" s="128" t="s">
        <v>31</v>
      </c>
      <c r="F225" s="115"/>
      <c r="G225" s="115"/>
      <c r="H225" s="115"/>
    </row>
    <row r="226" spans="1:9" ht="15.75" thickBot="1" x14ac:dyDescent="0.3">
      <c r="A226" s="98" t="s">
        <v>251</v>
      </c>
      <c r="B226" s="98"/>
      <c r="C226" s="98"/>
      <c r="D226" s="98"/>
      <c r="E226" s="98"/>
      <c r="F226" s="98"/>
      <c r="G226" s="98"/>
      <c r="H226" s="98"/>
    </row>
    <row r="227" spans="1:9" x14ac:dyDescent="0.25">
      <c r="A227" s="100" t="s">
        <v>2</v>
      </c>
      <c r="B227" s="103" t="s">
        <v>30</v>
      </c>
      <c r="C227" s="104"/>
      <c r="D227" s="104"/>
      <c r="E227" s="104"/>
      <c r="F227" s="104"/>
      <c r="G227" s="105" t="s">
        <v>3</v>
      </c>
      <c r="H227" s="106"/>
    </row>
    <row r="228" spans="1:9" ht="135.75" thickBot="1" x14ac:dyDescent="0.3">
      <c r="A228" s="124"/>
      <c r="B228" s="105" t="s">
        <v>30</v>
      </c>
      <c r="C228" s="105"/>
      <c r="D228" s="15" t="s">
        <v>32</v>
      </c>
      <c r="E228" s="105" t="s">
        <v>4</v>
      </c>
      <c r="F228" s="105"/>
      <c r="G228" s="125"/>
      <c r="H228" s="109"/>
    </row>
    <row r="229" spans="1:9" ht="165.75" thickBot="1" x14ac:dyDescent="0.3">
      <c r="A229" s="102"/>
      <c r="B229" s="14" t="s">
        <v>36</v>
      </c>
      <c r="C229" s="83" t="s">
        <v>5</v>
      </c>
      <c r="D229" s="15" t="s">
        <v>33</v>
      </c>
      <c r="E229" s="83" t="s">
        <v>34</v>
      </c>
      <c r="F229" s="89" t="s">
        <v>35</v>
      </c>
      <c r="G229" s="110"/>
      <c r="H229" s="111"/>
    </row>
    <row r="230" spans="1:9" ht="15.75" thickBot="1" x14ac:dyDescent="0.3">
      <c r="A230" s="82">
        <v>1</v>
      </c>
      <c r="B230" s="89">
        <v>2</v>
      </c>
      <c r="C230" s="11">
        <v>3</v>
      </c>
      <c r="D230" s="89">
        <v>4</v>
      </c>
      <c r="E230" s="11">
        <v>5</v>
      </c>
      <c r="F230" s="89">
        <v>6</v>
      </c>
      <c r="G230" s="96" t="s">
        <v>6</v>
      </c>
      <c r="H230" s="97"/>
    </row>
    <row r="231" spans="1:9" ht="60.75" thickBot="1" x14ac:dyDescent="0.3">
      <c r="A231" s="2" t="s">
        <v>7</v>
      </c>
      <c r="B231" s="6">
        <f>B232</f>
        <v>125807.99</v>
      </c>
      <c r="C231" s="12"/>
      <c r="D231" s="6">
        <f>D232</f>
        <v>37579.009999999995</v>
      </c>
      <c r="E231" s="8" t="s">
        <v>8</v>
      </c>
      <c r="F231" s="8" t="s">
        <v>8</v>
      </c>
      <c r="G231" s="90">
        <f>165275-978-910</f>
        <v>163387</v>
      </c>
      <c r="H231" s="91"/>
    </row>
    <row r="232" spans="1:9" ht="15.75" thickBot="1" x14ac:dyDescent="0.3">
      <c r="A232" s="3" t="s">
        <v>9</v>
      </c>
      <c r="B232" s="6">
        <f>G232*77%</f>
        <v>125807.99</v>
      </c>
      <c r="C232" s="12"/>
      <c r="D232" s="84">
        <f>G232-B232</f>
        <v>37579.009999999995</v>
      </c>
      <c r="E232" s="8" t="s">
        <v>8</v>
      </c>
      <c r="F232" s="8" t="s">
        <v>8</v>
      </c>
      <c r="G232" s="90">
        <f>G231</f>
        <v>163387</v>
      </c>
      <c r="H232" s="91"/>
    </row>
    <row r="233" spans="1:9" ht="15.75" thickBot="1" x14ac:dyDescent="0.3">
      <c r="A233" s="2" t="s">
        <v>10</v>
      </c>
      <c r="B233" s="6">
        <v>0</v>
      </c>
      <c r="C233" s="12"/>
      <c r="D233" s="6">
        <v>0</v>
      </c>
      <c r="E233" s="8" t="s">
        <v>8</v>
      </c>
      <c r="F233" s="8" t="s">
        <v>8</v>
      </c>
      <c r="G233" s="90">
        <v>0</v>
      </c>
      <c r="H233" s="91"/>
    </row>
    <row r="234" spans="1:9" ht="60.75" thickBot="1" x14ac:dyDescent="0.3">
      <c r="A234" s="2" t="s">
        <v>11</v>
      </c>
      <c r="B234" s="6">
        <f>G234*77%</f>
        <v>64577.590000000004</v>
      </c>
      <c r="C234" s="12"/>
      <c r="D234" s="84">
        <f>G234-B234</f>
        <v>19289.409999999996</v>
      </c>
      <c r="E234" s="8" t="s">
        <v>8</v>
      </c>
      <c r="F234" s="8" t="s">
        <v>8</v>
      </c>
      <c r="G234" s="90">
        <f>84367-500</f>
        <v>83867</v>
      </c>
      <c r="H234" s="91"/>
    </row>
    <row r="235" spans="1:9" ht="30.75" thickBot="1" x14ac:dyDescent="0.3">
      <c r="A235" s="2" t="s">
        <v>12</v>
      </c>
      <c r="B235" s="6">
        <f>G235*77%</f>
        <v>1838.76</v>
      </c>
      <c r="C235" s="12"/>
      <c r="D235" s="84">
        <f>G235-B235</f>
        <v>549.24</v>
      </c>
      <c r="E235" s="8" t="s">
        <v>8</v>
      </c>
      <c r="F235" s="8" t="s">
        <v>8</v>
      </c>
      <c r="G235" s="90">
        <f>978+910+500</f>
        <v>2388</v>
      </c>
      <c r="H235" s="91"/>
      <c r="I235" s="10">
        <f>G232+G234+G235</f>
        <v>249642</v>
      </c>
    </row>
    <row r="236" spans="1:9" ht="15.75" thickBot="1" x14ac:dyDescent="0.3">
      <c r="A236" s="2" t="s">
        <v>13</v>
      </c>
      <c r="B236" s="6">
        <f>G236*56%</f>
        <v>5220.88</v>
      </c>
      <c r="C236" s="6"/>
      <c r="D236" s="84">
        <f>G236-B236</f>
        <v>4102.12</v>
      </c>
      <c r="E236" s="8" t="s">
        <v>8</v>
      </c>
      <c r="F236" s="8" t="s">
        <v>8</v>
      </c>
      <c r="G236" s="90">
        <v>9323</v>
      </c>
      <c r="H236" s="91"/>
    </row>
    <row r="237" spans="1:9" ht="30.75" thickBot="1" x14ac:dyDescent="0.3">
      <c r="A237" s="2" t="s">
        <v>14</v>
      </c>
      <c r="B237" s="6">
        <f>G237*56%</f>
        <v>2880.0800000000004</v>
      </c>
      <c r="C237" s="6"/>
      <c r="D237" s="84">
        <f>G237-B237</f>
        <v>2262.9199999999996</v>
      </c>
      <c r="E237" s="8" t="s">
        <v>8</v>
      </c>
      <c r="F237" s="8" t="s">
        <v>8</v>
      </c>
      <c r="G237" s="90">
        <f>14466-G236</f>
        <v>5143</v>
      </c>
      <c r="H237" s="91"/>
    </row>
    <row r="238" spans="1:9" ht="45.75" thickBot="1" x14ac:dyDescent="0.3">
      <c r="A238" s="2" t="s">
        <v>15</v>
      </c>
      <c r="B238" s="8" t="s">
        <v>8</v>
      </c>
      <c r="C238" s="8" t="s">
        <v>8</v>
      </c>
      <c r="D238" s="6"/>
      <c r="E238" s="8" t="s">
        <v>8</v>
      </c>
      <c r="F238" s="8" t="s">
        <v>8</v>
      </c>
      <c r="G238" s="90"/>
      <c r="H238" s="91"/>
    </row>
    <row r="239" spans="1:9" ht="15.75" thickBot="1" x14ac:dyDescent="0.3">
      <c r="A239" s="2" t="s">
        <v>16</v>
      </c>
      <c r="B239" s="8" t="s">
        <v>8</v>
      </c>
      <c r="C239" s="8" t="s">
        <v>8</v>
      </c>
      <c r="D239" s="12"/>
      <c r="E239" s="6">
        <v>0</v>
      </c>
      <c r="F239" s="6"/>
      <c r="G239" s="90">
        <v>390</v>
      </c>
      <c r="H239" s="91"/>
    </row>
    <row r="240" spans="1:9" ht="15.75" thickBot="1" x14ac:dyDescent="0.3">
      <c r="A240" s="3" t="s">
        <v>17</v>
      </c>
      <c r="B240" s="6">
        <f>G240*56%</f>
        <v>0</v>
      </c>
      <c r="C240" s="8"/>
      <c r="D240" s="6"/>
      <c r="E240" s="6">
        <f>G240-B240</f>
        <v>0</v>
      </c>
      <c r="F240" s="6"/>
      <c r="G240" s="90">
        <v>0</v>
      </c>
      <c r="H240" s="91"/>
    </row>
    <row r="241" spans="1:11" ht="15.75" thickBot="1" x14ac:dyDescent="0.3">
      <c r="A241" s="3" t="s">
        <v>18</v>
      </c>
      <c r="B241" s="6"/>
      <c r="C241" s="8"/>
      <c r="D241" s="8"/>
      <c r="E241" s="6"/>
      <c r="F241" s="6"/>
      <c r="G241" s="90"/>
      <c r="H241" s="91"/>
    </row>
    <row r="242" spans="1:11" ht="45.75" thickBot="1" x14ac:dyDescent="0.3">
      <c r="A242" s="2" t="s">
        <v>19</v>
      </c>
      <c r="B242" s="6"/>
      <c r="C242" s="8"/>
      <c r="D242" s="6"/>
      <c r="E242" s="6"/>
      <c r="F242" s="6"/>
      <c r="G242" s="94"/>
      <c r="H242" s="95"/>
    </row>
    <row r="243" spans="1:11" ht="30.75" thickBot="1" x14ac:dyDescent="0.3">
      <c r="A243" s="2" t="s">
        <v>20</v>
      </c>
      <c r="B243" s="6"/>
      <c r="C243" s="8"/>
      <c r="D243" s="6"/>
      <c r="E243" s="6">
        <f>G243</f>
        <v>50305</v>
      </c>
      <c r="F243" s="6"/>
      <c r="G243" s="90">
        <v>50305</v>
      </c>
      <c r="H243" s="91"/>
    </row>
    <row r="244" spans="1:11" ht="30.75" thickBot="1" x14ac:dyDescent="0.3">
      <c r="A244" s="2" t="s">
        <v>21</v>
      </c>
      <c r="B244" s="6">
        <f>G244*56%</f>
        <v>13217.12</v>
      </c>
      <c r="C244" s="6"/>
      <c r="D244" s="84">
        <f>G244-B244</f>
        <v>10384.879999999999</v>
      </c>
      <c r="E244" s="8" t="s">
        <v>8</v>
      </c>
      <c r="F244" s="8" t="s">
        <v>8</v>
      </c>
      <c r="G244" s="90">
        <f>23992-G239</f>
        <v>23602</v>
      </c>
      <c r="H244" s="91"/>
      <c r="J244" s="10">
        <f>J245+G243</f>
        <v>-1</v>
      </c>
    </row>
    <row r="245" spans="1:11" ht="15.75" thickBot="1" x14ac:dyDescent="0.3">
      <c r="A245" s="3" t="s">
        <v>22</v>
      </c>
      <c r="B245" s="6">
        <f>G245*56%</f>
        <v>19994.800000000003</v>
      </c>
      <c r="C245" s="6"/>
      <c r="D245" s="84">
        <f>G245-B245</f>
        <v>15710.199999999997</v>
      </c>
      <c r="E245" s="8" t="s">
        <v>8</v>
      </c>
      <c r="F245" s="8" t="s">
        <v>8</v>
      </c>
      <c r="G245" s="90">
        <f>17114+6765+10635+1191</f>
        <v>35705</v>
      </c>
      <c r="H245" s="91"/>
      <c r="J245" s="10">
        <f>323804-G248</f>
        <v>-50306</v>
      </c>
    </row>
    <row r="246" spans="1:11" ht="15.75" thickBot="1" x14ac:dyDescent="0.3">
      <c r="A246" s="3" t="s">
        <v>23</v>
      </c>
      <c r="B246" s="8" t="s">
        <v>8</v>
      </c>
      <c r="C246" s="12"/>
      <c r="D246" s="8" t="s">
        <v>8</v>
      </c>
      <c r="E246" s="8" t="s">
        <v>8</v>
      </c>
      <c r="F246" s="8" t="s">
        <v>8</v>
      </c>
      <c r="G246" s="94"/>
      <c r="H246" s="95"/>
    </row>
    <row r="247" spans="1:11" ht="15.75" thickBot="1" x14ac:dyDescent="0.3">
      <c r="A247" s="3" t="s">
        <v>24</v>
      </c>
      <c r="B247" s="6"/>
      <c r="C247" s="6"/>
      <c r="D247" s="6"/>
      <c r="E247" s="8" t="s">
        <v>8</v>
      </c>
      <c r="F247" s="8" t="s">
        <v>8</v>
      </c>
      <c r="G247" s="90"/>
      <c r="H247" s="91"/>
    </row>
    <row r="248" spans="1:11" ht="15.75" thickBot="1" x14ac:dyDescent="0.3">
      <c r="A248" s="4" t="s">
        <v>25</v>
      </c>
      <c r="B248" s="6">
        <f>SUM(B232:B247)</f>
        <v>233537.22000000003</v>
      </c>
      <c r="C248" s="6"/>
      <c r="D248" s="6">
        <f>SUM(D232:D247)</f>
        <v>89877.779999999984</v>
      </c>
      <c r="E248" s="6">
        <f>SUM(E232:E247)</f>
        <v>50305</v>
      </c>
      <c r="F248" s="6"/>
      <c r="G248" s="90">
        <f>SUM(G232:H247)</f>
        <v>374110</v>
      </c>
      <c r="H248" s="91"/>
    </row>
    <row r="249" spans="1:11" x14ac:dyDescent="0.25">
      <c r="A249" s="92" t="s">
        <v>26</v>
      </c>
      <c r="B249" s="92"/>
      <c r="C249" s="92"/>
      <c r="D249" s="92"/>
      <c r="E249" s="92"/>
      <c r="F249" s="92"/>
      <c r="G249" s="92"/>
      <c r="H249" s="92"/>
    </row>
    <row r="250" spans="1:11" x14ac:dyDescent="0.25">
      <c r="A250" s="93" t="s">
        <v>27</v>
      </c>
      <c r="B250" s="93"/>
      <c r="C250" s="93"/>
      <c r="D250" s="93"/>
      <c r="E250" s="93"/>
      <c r="F250" s="93"/>
      <c r="G250" s="93"/>
      <c r="H250" s="93"/>
    </row>
    <row r="251" spans="1:11" x14ac:dyDescent="0.25">
      <c r="A251" s="93" t="s">
        <v>28</v>
      </c>
      <c r="B251" s="93"/>
      <c r="C251" s="93"/>
      <c r="D251" s="93"/>
      <c r="E251" s="93"/>
      <c r="F251" s="93"/>
      <c r="G251" s="93"/>
      <c r="H251" s="93"/>
      <c r="K251" s="10">
        <f>G754-G749</f>
        <v>0</v>
      </c>
    </row>
    <row r="252" spans="1:11" x14ac:dyDescent="0.25">
      <c r="B252" s="10" t="s">
        <v>252</v>
      </c>
      <c r="C252" s="10">
        <v>242472</v>
      </c>
      <c r="K252" s="10">
        <f>K251-244898</f>
        <v>-244898</v>
      </c>
    </row>
    <row r="253" spans="1:11" x14ac:dyDescent="0.25">
      <c r="C253" s="10">
        <f>C252-B248</f>
        <v>8934.7799999999697</v>
      </c>
    </row>
    <row r="257" spans="1:10" x14ac:dyDescent="0.25">
      <c r="A257" s="85"/>
      <c r="B257" s="86"/>
      <c r="C257" s="86"/>
      <c r="D257" s="86"/>
      <c r="E257" s="112" t="s">
        <v>29</v>
      </c>
      <c r="F257" s="112"/>
      <c r="G257" s="112"/>
      <c r="H257" s="112"/>
    </row>
    <row r="258" spans="1:10" x14ac:dyDescent="0.25">
      <c r="A258" s="113"/>
      <c r="B258" s="114"/>
      <c r="C258" s="114"/>
      <c r="D258" s="115"/>
      <c r="E258" s="115" t="s">
        <v>0</v>
      </c>
      <c r="F258" s="115"/>
      <c r="G258" s="115"/>
      <c r="H258" s="115"/>
    </row>
    <row r="259" spans="1:10" x14ac:dyDescent="0.25">
      <c r="A259" s="113"/>
      <c r="B259" s="114"/>
      <c r="C259" s="114"/>
      <c r="D259" s="115"/>
      <c r="E259" s="128" t="s">
        <v>31</v>
      </c>
      <c r="F259" s="115"/>
      <c r="G259" s="115"/>
      <c r="H259" s="115"/>
    </row>
    <row r="260" spans="1:10" ht="15.75" thickBot="1" x14ac:dyDescent="0.3">
      <c r="A260" s="98" t="s">
        <v>253</v>
      </c>
      <c r="B260" s="98"/>
      <c r="C260" s="98"/>
      <c r="D260" s="98"/>
      <c r="E260" s="98"/>
      <c r="F260" s="98"/>
      <c r="G260" s="98"/>
      <c r="H260" s="98"/>
    </row>
    <row r="261" spans="1:10" x14ac:dyDescent="0.25">
      <c r="A261" s="100" t="s">
        <v>2</v>
      </c>
      <c r="B261" s="103" t="s">
        <v>30</v>
      </c>
      <c r="C261" s="104"/>
      <c r="D261" s="104"/>
      <c r="E261" s="104"/>
      <c r="F261" s="104"/>
      <c r="G261" s="105" t="s">
        <v>3</v>
      </c>
      <c r="H261" s="106"/>
    </row>
    <row r="262" spans="1:10" ht="135.75" thickBot="1" x14ac:dyDescent="0.3">
      <c r="A262" s="124"/>
      <c r="B262" s="105" t="s">
        <v>30</v>
      </c>
      <c r="C262" s="105"/>
      <c r="D262" s="15" t="s">
        <v>32</v>
      </c>
      <c r="E262" s="105" t="s">
        <v>4</v>
      </c>
      <c r="F262" s="105"/>
      <c r="G262" s="125"/>
      <c r="H262" s="109"/>
    </row>
    <row r="263" spans="1:10" ht="165.75" thickBot="1" x14ac:dyDescent="0.3">
      <c r="A263" s="102"/>
      <c r="B263" s="14" t="s">
        <v>36</v>
      </c>
      <c r="C263" s="83" t="s">
        <v>5</v>
      </c>
      <c r="D263" s="15" t="s">
        <v>33</v>
      </c>
      <c r="E263" s="83" t="s">
        <v>34</v>
      </c>
      <c r="F263" s="89" t="s">
        <v>35</v>
      </c>
      <c r="G263" s="110"/>
      <c r="H263" s="111"/>
    </row>
    <row r="264" spans="1:10" ht="15.75" thickBot="1" x14ac:dyDescent="0.3">
      <c r="A264" s="82">
        <v>1</v>
      </c>
      <c r="B264" s="89">
        <v>2</v>
      </c>
      <c r="C264" s="11">
        <v>3</v>
      </c>
      <c r="D264" s="89">
        <v>4</v>
      </c>
      <c r="E264" s="11">
        <v>5</v>
      </c>
      <c r="F264" s="89">
        <v>6</v>
      </c>
      <c r="G264" s="96" t="s">
        <v>6</v>
      </c>
      <c r="H264" s="97"/>
    </row>
    <row r="265" spans="1:10" ht="60.75" thickBot="1" x14ac:dyDescent="0.3">
      <c r="A265" s="2" t="s">
        <v>7</v>
      </c>
      <c r="B265" s="6">
        <f>B266</f>
        <v>138159.56</v>
      </c>
      <c r="C265" s="12"/>
      <c r="D265" s="6">
        <f>D266</f>
        <v>41268.44</v>
      </c>
      <c r="E265" s="8" t="s">
        <v>8</v>
      </c>
      <c r="F265" s="8" t="s">
        <v>8</v>
      </c>
      <c r="G265" s="90">
        <f>181339-910-1001</f>
        <v>179428</v>
      </c>
      <c r="H265" s="91"/>
    </row>
    <row r="266" spans="1:10" ht="15.75" thickBot="1" x14ac:dyDescent="0.3">
      <c r="A266" s="3" t="s">
        <v>9</v>
      </c>
      <c r="B266" s="6">
        <f>G266*77%</f>
        <v>138159.56</v>
      </c>
      <c r="C266" s="12"/>
      <c r="D266" s="84">
        <f>G266-B266</f>
        <v>41268.44</v>
      </c>
      <c r="E266" s="8" t="s">
        <v>8</v>
      </c>
      <c r="F266" s="8" t="s">
        <v>8</v>
      </c>
      <c r="G266" s="90">
        <f>G265</f>
        <v>179428</v>
      </c>
      <c r="H266" s="91"/>
    </row>
    <row r="267" spans="1:10" ht="15.75" thickBot="1" x14ac:dyDescent="0.3">
      <c r="A267" s="2" t="s">
        <v>10</v>
      </c>
      <c r="B267" s="6">
        <v>0</v>
      </c>
      <c r="C267" s="12"/>
      <c r="D267" s="6">
        <v>0</v>
      </c>
      <c r="E267" s="8" t="s">
        <v>8</v>
      </c>
      <c r="F267" s="8" t="s">
        <v>8</v>
      </c>
      <c r="G267" s="90">
        <v>0</v>
      </c>
      <c r="H267" s="91"/>
    </row>
    <row r="268" spans="1:10" ht="60.75" thickBot="1" x14ac:dyDescent="0.3">
      <c r="A268" s="2" t="s">
        <v>11</v>
      </c>
      <c r="B268" s="6">
        <f>G268*77%</f>
        <v>73361.75</v>
      </c>
      <c r="C268" s="12"/>
      <c r="D268" s="84">
        <f>G268-B268</f>
        <v>21913.25</v>
      </c>
      <c r="E268" s="8" t="s">
        <v>8</v>
      </c>
      <c r="F268" s="8" t="s">
        <v>8</v>
      </c>
      <c r="G268" s="90">
        <f>95802-527</f>
        <v>95275</v>
      </c>
      <c r="H268" s="91"/>
    </row>
    <row r="269" spans="1:10" ht="30.75" thickBot="1" x14ac:dyDescent="0.3">
      <c r="A269" s="2" t="s">
        <v>12</v>
      </c>
      <c r="B269" s="6">
        <f>G269*77%</f>
        <v>1877.26</v>
      </c>
      <c r="C269" s="12"/>
      <c r="D269" s="84">
        <f>G269-B269</f>
        <v>560.74</v>
      </c>
      <c r="E269" s="8" t="s">
        <v>8</v>
      </c>
      <c r="F269" s="8" t="s">
        <v>8</v>
      </c>
      <c r="G269" s="90">
        <f>527+910+1001</f>
        <v>2438</v>
      </c>
      <c r="H269" s="91"/>
      <c r="I269" s="10">
        <f>G266+G268+G269</f>
        <v>277141</v>
      </c>
      <c r="J269" s="10">
        <f>I269-277142</f>
        <v>-1</v>
      </c>
    </row>
    <row r="270" spans="1:10" ht="15.75" thickBot="1" x14ac:dyDescent="0.3">
      <c r="A270" s="2" t="s">
        <v>13</v>
      </c>
      <c r="B270" s="6">
        <f>G270*56%</f>
        <v>5978.56</v>
      </c>
      <c r="C270" s="6"/>
      <c r="D270" s="84">
        <f>G270-B270</f>
        <v>4697.4399999999996</v>
      </c>
      <c r="E270" s="8" t="s">
        <v>8</v>
      </c>
      <c r="F270" s="8" t="s">
        <v>8</v>
      </c>
      <c r="G270" s="90">
        <v>10676</v>
      </c>
      <c r="H270" s="91"/>
    </row>
    <row r="271" spans="1:10" ht="30.75" thickBot="1" x14ac:dyDescent="0.3">
      <c r="A271" s="2" t="s">
        <v>14</v>
      </c>
      <c r="B271" s="6">
        <f>G271*56%</f>
        <v>3382.4000000000005</v>
      </c>
      <c r="C271" s="6"/>
      <c r="D271" s="84">
        <f>G271-B271</f>
        <v>2657.5999999999995</v>
      </c>
      <c r="E271" s="8" t="s">
        <v>8</v>
      </c>
      <c r="F271" s="8" t="s">
        <v>8</v>
      </c>
      <c r="G271" s="90">
        <f>16716-G270</f>
        <v>6040</v>
      </c>
      <c r="H271" s="91"/>
    </row>
    <row r="272" spans="1:10" ht="45.75" thickBot="1" x14ac:dyDescent="0.3">
      <c r="A272" s="2" t="s">
        <v>15</v>
      </c>
      <c r="B272" s="8" t="s">
        <v>8</v>
      </c>
      <c r="C272" s="8" t="s">
        <v>8</v>
      </c>
      <c r="D272" s="6"/>
      <c r="E272" s="8" t="s">
        <v>8</v>
      </c>
      <c r="F272" s="8" t="s">
        <v>8</v>
      </c>
      <c r="G272" s="90"/>
      <c r="H272" s="91"/>
    </row>
    <row r="273" spans="1:11" ht="15.75" thickBot="1" x14ac:dyDescent="0.3">
      <c r="A273" s="2" t="s">
        <v>16</v>
      </c>
      <c r="B273" s="8" t="s">
        <v>8</v>
      </c>
      <c r="C273" s="8" t="s">
        <v>8</v>
      </c>
      <c r="D273" s="12"/>
      <c r="E273" s="6"/>
      <c r="F273" s="6"/>
      <c r="G273" s="90"/>
      <c r="H273" s="91"/>
    </row>
    <row r="274" spans="1:11" ht="15.75" thickBot="1" x14ac:dyDescent="0.3">
      <c r="A274" s="3" t="s">
        <v>17</v>
      </c>
      <c r="B274" s="6">
        <f>G274*56%</f>
        <v>218.40000000000003</v>
      </c>
      <c r="C274" s="8"/>
      <c r="D274" s="6"/>
      <c r="E274" s="6">
        <f>G274-B274</f>
        <v>171.59999999999997</v>
      </c>
      <c r="F274" s="6"/>
      <c r="G274" s="90">
        <v>390</v>
      </c>
      <c r="H274" s="91"/>
    </row>
    <row r="275" spans="1:11" ht="15.75" thickBot="1" x14ac:dyDescent="0.3">
      <c r="A275" s="3" t="s">
        <v>18</v>
      </c>
      <c r="B275" s="6"/>
      <c r="C275" s="8"/>
      <c r="D275" s="8"/>
      <c r="E275" s="6"/>
      <c r="F275" s="6"/>
      <c r="G275" s="90"/>
      <c r="H275" s="91"/>
    </row>
    <row r="276" spans="1:11" ht="45.75" thickBot="1" x14ac:dyDescent="0.3">
      <c r="A276" s="2" t="s">
        <v>19</v>
      </c>
      <c r="B276" s="6"/>
      <c r="C276" s="8"/>
      <c r="D276" s="6"/>
      <c r="E276" s="6"/>
      <c r="F276" s="6"/>
      <c r="G276" s="94"/>
      <c r="H276" s="95"/>
      <c r="J276" s="10">
        <f>G270+G271+G273+G278+G279+I269+G277</f>
        <v>417677</v>
      </c>
    </row>
    <row r="277" spans="1:11" ht="30.75" thickBot="1" x14ac:dyDescent="0.3">
      <c r="A277" s="2" t="s">
        <v>20</v>
      </c>
      <c r="B277" s="6"/>
      <c r="C277" s="8"/>
      <c r="D277" s="6"/>
      <c r="E277" s="6">
        <f>G277</f>
        <v>57474</v>
      </c>
      <c r="F277" s="6"/>
      <c r="G277" s="90">
        <v>57474</v>
      </c>
      <c r="H277" s="91"/>
    </row>
    <row r="278" spans="1:11" ht="30.75" thickBot="1" x14ac:dyDescent="0.3">
      <c r="A278" s="2" t="s">
        <v>21</v>
      </c>
      <c r="B278" s="6">
        <f>G278*56%</f>
        <v>16472.960000000003</v>
      </c>
      <c r="C278" s="6"/>
      <c r="D278" s="84">
        <f>G278-B278</f>
        <v>12943.039999999997</v>
      </c>
      <c r="E278" s="8" t="s">
        <v>8</v>
      </c>
      <c r="F278" s="8" t="s">
        <v>8</v>
      </c>
      <c r="G278" s="90">
        <f>29806-G274</f>
        <v>29416</v>
      </c>
      <c r="H278" s="91"/>
      <c r="J278" s="10">
        <f>G277-J279</f>
        <v>114948</v>
      </c>
    </row>
    <row r="279" spans="1:11" ht="15.75" thickBot="1" x14ac:dyDescent="0.3">
      <c r="A279" s="3" t="s">
        <v>22</v>
      </c>
      <c r="B279" s="6">
        <f>G279*56%</f>
        <v>20680.800000000003</v>
      </c>
      <c r="C279" s="6"/>
      <c r="D279" s="84">
        <f>G279-B279</f>
        <v>16249.199999999997</v>
      </c>
      <c r="E279" s="8" t="s">
        <v>8</v>
      </c>
      <c r="F279" s="8" t="s">
        <v>8</v>
      </c>
      <c r="G279" s="90">
        <f>17114+1229+11822+6765</f>
        <v>36930</v>
      </c>
      <c r="H279" s="91"/>
      <c r="J279" s="10">
        <f>360593-G282</f>
        <v>-57474</v>
      </c>
    </row>
    <row r="280" spans="1:11" ht="15.75" thickBot="1" x14ac:dyDescent="0.3">
      <c r="A280" s="3" t="s">
        <v>23</v>
      </c>
      <c r="B280" s="8" t="s">
        <v>8</v>
      </c>
      <c r="C280" s="12"/>
      <c r="D280" s="8" t="s">
        <v>8</v>
      </c>
      <c r="E280" s="8" t="s">
        <v>8</v>
      </c>
      <c r="F280" s="8" t="s">
        <v>8</v>
      </c>
      <c r="G280" s="94"/>
      <c r="H280" s="95"/>
    </row>
    <row r="281" spans="1:11" ht="15.75" thickBot="1" x14ac:dyDescent="0.3">
      <c r="A281" s="3" t="s">
        <v>24</v>
      </c>
      <c r="B281" s="6"/>
      <c r="C281" s="6"/>
      <c r="D281" s="6"/>
      <c r="E281" s="8" t="s">
        <v>8</v>
      </c>
      <c r="F281" s="8" t="s">
        <v>8</v>
      </c>
      <c r="G281" s="90"/>
      <c r="H281" s="91"/>
    </row>
    <row r="282" spans="1:11" ht="15.75" thickBot="1" x14ac:dyDescent="0.3">
      <c r="A282" s="4" t="s">
        <v>25</v>
      </c>
      <c r="B282" s="6">
        <f>SUM(B266:B281)</f>
        <v>260131.69</v>
      </c>
      <c r="C282" s="6"/>
      <c r="D282" s="6">
        <f>SUM(D266:D281)</f>
        <v>100289.70999999999</v>
      </c>
      <c r="E282" s="6">
        <f>SUM(E266:E281)</f>
        <v>57645.599999999999</v>
      </c>
      <c r="F282" s="6"/>
      <c r="G282" s="90">
        <f>SUM(G266:H281)</f>
        <v>418067</v>
      </c>
      <c r="H282" s="91"/>
    </row>
    <row r="283" spans="1:11" x14ac:dyDescent="0.25">
      <c r="A283" s="92" t="s">
        <v>26</v>
      </c>
      <c r="B283" s="92"/>
      <c r="C283" s="92"/>
      <c r="D283" s="92"/>
      <c r="E283" s="92"/>
      <c r="F283" s="92"/>
      <c r="G283" s="92"/>
      <c r="H283" s="92"/>
    </row>
    <row r="284" spans="1:11" x14ac:dyDescent="0.25">
      <c r="A284" s="93" t="s">
        <v>27</v>
      </c>
      <c r="B284" s="93"/>
      <c r="C284" s="93"/>
      <c r="D284" s="93"/>
      <c r="E284" s="93"/>
      <c r="F284" s="93"/>
      <c r="G284" s="93"/>
      <c r="H284" s="93"/>
    </row>
    <row r="285" spans="1:11" x14ac:dyDescent="0.25">
      <c r="A285" s="93" t="s">
        <v>28</v>
      </c>
      <c r="B285" s="93"/>
      <c r="C285" s="93"/>
      <c r="D285" s="93"/>
      <c r="E285" s="93"/>
      <c r="F285" s="93"/>
      <c r="G285" s="93"/>
      <c r="H285" s="93"/>
      <c r="K285" s="10">
        <f>G788-G783</f>
        <v>0</v>
      </c>
    </row>
    <row r="286" spans="1:11" x14ac:dyDescent="0.25">
      <c r="B286" s="10" t="s">
        <v>254</v>
      </c>
      <c r="C286" s="10">
        <v>268685</v>
      </c>
      <c r="K286" s="10">
        <f>K285-244898</f>
        <v>-244898</v>
      </c>
    </row>
    <row r="287" spans="1:11" x14ac:dyDescent="0.25">
      <c r="C287" s="10">
        <f>C286-B282</f>
        <v>8553.3099999999977</v>
      </c>
    </row>
    <row r="290" spans="1:9" x14ac:dyDescent="0.25">
      <c r="A290" s="85"/>
      <c r="B290" s="86"/>
      <c r="C290" s="86"/>
      <c r="D290" s="86"/>
      <c r="E290" s="112" t="s">
        <v>29</v>
      </c>
      <c r="F290" s="112"/>
      <c r="G290" s="112"/>
      <c r="H290" s="112"/>
    </row>
    <row r="291" spans="1:9" x14ac:dyDescent="0.25">
      <c r="A291" s="113"/>
      <c r="B291" s="114"/>
      <c r="C291" s="114"/>
      <c r="D291" s="115"/>
      <c r="E291" s="115" t="s">
        <v>0</v>
      </c>
      <c r="F291" s="115"/>
      <c r="G291" s="115"/>
      <c r="H291" s="115"/>
    </row>
    <row r="292" spans="1:9" x14ac:dyDescent="0.25">
      <c r="A292" s="113"/>
      <c r="B292" s="114"/>
      <c r="C292" s="114"/>
      <c r="D292" s="115"/>
      <c r="E292" s="128" t="s">
        <v>31</v>
      </c>
      <c r="F292" s="115"/>
      <c r="G292" s="115"/>
      <c r="H292" s="115"/>
    </row>
    <row r="293" spans="1:9" ht="15.75" thickBot="1" x14ac:dyDescent="0.3">
      <c r="A293" s="98" t="s">
        <v>255</v>
      </c>
      <c r="B293" s="98"/>
      <c r="C293" s="98"/>
      <c r="D293" s="98"/>
      <c r="E293" s="98"/>
      <c r="F293" s="98"/>
      <c r="G293" s="98"/>
      <c r="H293" s="98"/>
    </row>
    <row r="294" spans="1:9" x14ac:dyDescent="0.25">
      <c r="A294" s="100" t="s">
        <v>2</v>
      </c>
      <c r="B294" s="103" t="s">
        <v>30</v>
      </c>
      <c r="C294" s="104"/>
      <c r="D294" s="104"/>
      <c r="E294" s="104"/>
      <c r="F294" s="104"/>
      <c r="G294" s="105" t="s">
        <v>3</v>
      </c>
      <c r="H294" s="106"/>
    </row>
    <row r="295" spans="1:9" ht="135.75" thickBot="1" x14ac:dyDescent="0.3">
      <c r="A295" s="124"/>
      <c r="B295" s="105" t="s">
        <v>30</v>
      </c>
      <c r="C295" s="105"/>
      <c r="D295" s="15" t="s">
        <v>32</v>
      </c>
      <c r="E295" s="105" t="s">
        <v>4</v>
      </c>
      <c r="F295" s="105"/>
      <c r="G295" s="125"/>
      <c r="H295" s="109"/>
    </row>
    <row r="296" spans="1:9" ht="165.75" thickBot="1" x14ac:dyDescent="0.3">
      <c r="A296" s="102"/>
      <c r="B296" s="14" t="s">
        <v>36</v>
      </c>
      <c r="C296" s="83" t="s">
        <v>5</v>
      </c>
      <c r="D296" s="15" t="s">
        <v>33</v>
      </c>
      <c r="E296" s="83" t="s">
        <v>34</v>
      </c>
      <c r="F296" s="89" t="s">
        <v>35</v>
      </c>
      <c r="G296" s="110"/>
      <c r="H296" s="111"/>
    </row>
    <row r="297" spans="1:9" ht="15.75" thickBot="1" x14ac:dyDescent="0.3">
      <c r="A297" s="82">
        <v>1</v>
      </c>
      <c r="B297" s="89">
        <v>2</v>
      </c>
      <c r="C297" s="11">
        <v>3</v>
      </c>
      <c r="D297" s="89">
        <v>4</v>
      </c>
      <c r="E297" s="11">
        <v>5</v>
      </c>
      <c r="F297" s="89">
        <v>6</v>
      </c>
      <c r="G297" s="96" t="s">
        <v>6</v>
      </c>
      <c r="H297" s="97"/>
    </row>
    <row r="298" spans="1:9" ht="60.75" thickBot="1" x14ac:dyDescent="0.3">
      <c r="A298" s="2" t="s">
        <v>7</v>
      </c>
      <c r="B298" s="6">
        <f>B299</f>
        <v>156737.35</v>
      </c>
      <c r="C298" s="12"/>
      <c r="D298" s="6">
        <f>D299</f>
        <v>46817.649999999994</v>
      </c>
      <c r="E298" s="8" t="s">
        <v>8</v>
      </c>
      <c r="F298" s="8" t="s">
        <v>8</v>
      </c>
      <c r="G298" s="90">
        <f>205651-910-1186</f>
        <v>203555</v>
      </c>
      <c r="H298" s="91"/>
    </row>
    <row r="299" spans="1:9" ht="15.75" thickBot="1" x14ac:dyDescent="0.3">
      <c r="A299" s="3" t="s">
        <v>9</v>
      </c>
      <c r="B299" s="6">
        <f>G299*77%</f>
        <v>156737.35</v>
      </c>
      <c r="C299" s="12"/>
      <c r="D299" s="84">
        <f>G299-B299</f>
        <v>46817.649999999994</v>
      </c>
      <c r="E299" s="8" t="s">
        <v>8</v>
      </c>
      <c r="F299" s="8" t="s">
        <v>8</v>
      </c>
      <c r="G299" s="90">
        <f>G298</f>
        <v>203555</v>
      </c>
      <c r="H299" s="91"/>
    </row>
    <row r="300" spans="1:9" ht="15.75" thickBot="1" x14ac:dyDescent="0.3">
      <c r="A300" s="2" t="s">
        <v>10</v>
      </c>
      <c r="B300" s="6">
        <v>0</v>
      </c>
      <c r="C300" s="12"/>
      <c r="D300" s="6">
        <v>0</v>
      </c>
      <c r="E300" s="8" t="s">
        <v>8</v>
      </c>
      <c r="F300" s="8" t="s">
        <v>8</v>
      </c>
      <c r="G300" s="90">
        <v>0</v>
      </c>
      <c r="H300" s="91"/>
    </row>
    <row r="301" spans="1:9" ht="60.75" thickBot="1" x14ac:dyDescent="0.3">
      <c r="A301" s="2" t="s">
        <v>11</v>
      </c>
      <c r="B301" s="6">
        <f>G301*77%</f>
        <v>82704.930000000008</v>
      </c>
      <c r="C301" s="12"/>
      <c r="D301" s="84">
        <f>G301-B301</f>
        <v>24704.069999999992</v>
      </c>
      <c r="E301" s="8" t="s">
        <v>8</v>
      </c>
      <c r="F301" s="8" t="s">
        <v>8</v>
      </c>
      <c r="G301" s="90">
        <f>108022-613</f>
        <v>107409</v>
      </c>
      <c r="H301" s="91"/>
    </row>
    <row r="302" spans="1:9" ht="30.75" thickBot="1" x14ac:dyDescent="0.3">
      <c r="A302" s="2" t="s">
        <v>12</v>
      </c>
      <c r="B302" s="6">
        <f>G302*77%</f>
        <v>2085.9299999999998</v>
      </c>
      <c r="C302" s="12"/>
      <c r="D302" s="84">
        <f>G302-B302</f>
        <v>623.07000000000016</v>
      </c>
      <c r="E302" s="8" t="s">
        <v>8</v>
      </c>
      <c r="F302" s="8" t="s">
        <v>8</v>
      </c>
      <c r="G302" s="90">
        <f>910+1186+613</f>
        <v>2709</v>
      </c>
      <c r="H302" s="91"/>
      <c r="I302" s="10">
        <f>G299+G301+G302</f>
        <v>313673</v>
      </c>
    </row>
    <row r="303" spans="1:9" ht="15.75" thickBot="1" x14ac:dyDescent="0.3">
      <c r="A303" s="2" t="s">
        <v>13</v>
      </c>
      <c r="B303" s="6">
        <f>G303*56%</f>
        <v>6449.52</v>
      </c>
      <c r="C303" s="6"/>
      <c r="D303" s="84">
        <f>G303-B303</f>
        <v>5067.4799999999996</v>
      </c>
      <c r="E303" s="8" t="s">
        <v>8</v>
      </c>
      <c r="F303" s="8" t="s">
        <v>8</v>
      </c>
      <c r="G303" s="90">
        <v>11517</v>
      </c>
      <c r="H303" s="91"/>
    </row>
    <row r="304" spans="1:9" ht="30.75" thickBot="1" x14ac:dyDescent="0.3">
      <c r="A304" s="2" t="s">
        <v>14</v>
      </c>
      <c r="B304" s="6">
        <f>G304*56%</f>
        <v>5597.2000000000007</v>
      </c>
      <c r="C304" s="6"/>
      <c r="D304" s="84">
        <f>G304-B304</f>
        <v>4397.7999999999993</v>
      </c>
      <c r="E304" s="8" t="s">
        <v>8</v>
      </c>
      <c r="F304" s="8" t="s">
        <v>8</v>
      </c>
      <c r="G304" s="90">
        <f>21512-G303</f>
        <v>9995</v>
      </c>
      <c r="H304" s="91"/>
    </row>
    <row r="305" spans="1:11" ht="45.75" thickBot="1" x14ac:dyDescent="0.3">
      <c r="A305" s="2" t="s">
        <v>15</v>
      </c>
      <c r="B305" s="8" t="s">
        <v>8</v>
      </c>
      <c r="C305" s="8" t="s">
        <v>8</v>
      </c>
      <c r="D305" s="6"/>
      <c r="E305" s="8" t="s">
        <v>8</v>
      </c>
      <c r="F305" s="8" t="s">
        <v>8</v>
      </c>
      <c r="G305" s="90"/>
      <c r="H305" s="91"/>
    </row>
    <row r="306" spans="1:11" ht="15.75" thickBot="1" x14ac:dyDescent="0.3">
      <c r="A306" s="2" t="s">
        <v>16</v>
      </c>
      <c r="B306" s="8" t="s">
        <v>8</v>
      </c>
      <c r="C306" s="8" t="s">
        <v>8</v>
      </c>
      <c r="D306" s="12"/>
      <c r="E306" s="6">
        <v>0</v>
      </c>
      <c r="F306" s="6"/>
      <c r="G306" s="90">
        <v>0</v>
      </c>
      <c r="H306" s="91"/>
    </row>
    <row r="307" spans="1:11" ht="15.75" thickBot="1" x14ac:dyDescent="0.3">
      <c r="A307" s="3" t="s">
        <v>17</v>
      </c>
      <c r="B307" s="6">
        <f>G307*56%</f>
        <v>0</v>
      </c>
      <c r="C307" s="8"/>
      <c r="D307" s="6"/>
      <c r="E307" s="6">
        <f>G307-B307</f>
        <v>0</v>
      </c>
      <c r="F307" s="6"/>
      <c r="G307" s="90">
        <v>0</v>
      </c>
      <c r="H307" s="91"/>
    </row>
    <row r="308" spans="1:11" ht="15.75" thickBot="1" x14ac:dyDescent="0.3">
      <c r="A308" s="3" t="s">
        <v>18</v>
      </c>
      <c r="B308" s="6"/>
      <c r="C308" s="8"/>
      <c r="D308" s="8"/>
      <c r="E308" s="6"/>
      <c r="F308" s="6"/>
      <c r="G308" s="90">
        <v>390</v>
      </c>
      <c r="H308" s="91"/>
    </row>
    <row r="309" spans="1:11" ht="45.75" thickBot="1" x14ac:dyDescent="0.3">
      <c r="A309" s="2" t="s">
        <v>19</v>
      </c>
      <c r="B309" s="6"/>
      <c r="C309" s="8"/>
      <c r="D309" s="6"/>
      <c r="E309" s="6"/>
      <c r="F309" s="6"/>
      <c r="G309" s="94"/>
      <c r="H309" s="95"/>
      <c r="J309" s="10">
        <f>G303+G304+G306+G311+G312+I302+G310</f>
        <v>473693</v>
      </c>
    </row>
    <row r="310" spans="1:11" ht="30.75" thickBot="1" x14ac:dyDescent="0.3">
      <c r="A310" s="2" t="s">
        <v>20</v>
      </c>
      <c r="B310" s="6"/>
      <c r="C310" s="8"/>
      <c r="D310" s="6"/>
      <c r="E310" s="6">
        <f>G310</f>
        <v>64704</v>
      </c>
      <c r="F310" s="6"/>
      <c r="G310" s="90">
        <v>64704</v>
      </c>
      <c r="H310" s="91"/>
    </row>
    <row r="311" spans="1:11" ht="30.75" thickBot="1" x14ac:dyDescent="0.3">
      <c r="A311" s="2" t="s">
        <v>21</v>
      </c>
      <c r="B311" s="6">
        <f>G311*56%</f>
        <v>19960.640000000003</v>
      </c>
      <c r="C311" s="6"/>
      <c r="D311" s="84">
        <f>G311-B311</f>
        <v>15683.359999999997</v>
      </c>
      <c r="E311" s="8" t="s">
        <v>8</v>
      </c>
      <c r="F311" s="8" t="s">
        <v>8</v>
      </c>
      <c r="G311" s="90">
        <f>36034-G308</f>
        <v>35644</v>
      </c>
      <c r="H311" s="91"/>
      <c r="J311" s="10">
        <f>G315-409378</f>
        <v>64705</v>
      </c>
    </row>
    <row r="312" spans="1:11" ht="15.75" thickBot="1" x14ac:dyDescent="0.3">
      <c r="A312" s="3" t="s">
        <v>22</v>
      </c>
      <c r="B312" s="6">
        <f>G312*56%</f>
        <v>21369.600000000002</v>
      </c>
      <c r="C312" s="6"/>
      <c r="D312" s="84">
        <f>G312-B312</f>
        <v>16790.399999999998</v>
      </c>
      <c r="E312" s="8" t="s">
        <v>8</v>
      </c>
      <c r="F312" s="8" t="s">
        <v>8</v>
      </c>
      <c r="G312" s="90">
        <f>17114+6765+12995+1286</f>
        <v>38160</v>
      </c>
      <c r="H312" s="91"/>
      <c r="J312" s="10">
        <f>J311-G310</f>
        <v>1</v>
      </c>
    </row>
    <row r="313" spans="1:11" ht="15.75" thickBot="1" x14ac:dyDescent="0.3">
      <c r="A313" s="3" t="s">
        <v>23</v>
      </c>
      <c r="B313" s="8" t="s">
        <v>8</v>
      </c>
      <c r="C313" s="12"/>
      <c r="D313" s="8" t="s">
        <v>8</v>
      </c>
      <c r="E313" s="8" t="s">
        <v>8</v>
      </c>
      <c r="F313" s="8" t="s">
        <v>8</v>
      </c>
      <c r="G313" s="94"/>
      <c r="H313" s="95"/>
    </row>
    <row r="314" spans="1:11" ht="15.75" thickBot="1" x14ac:dyDescent="0.3">
      <c r="A314" s="3" t="s">
        <v>24</v>
      </c>
      <c r="B314" s="6"/>
      <c r="C314" s="6"/>
      <c r="D314" s="6"/>
      <c r="E314" s="8" t="s">
        <v>8</v>
      </c>
      <c r="F314" s="8" t="s">
        <v>8</v>
      </c>
      <c r="G314" s="90"/>
      <c r="H314" s="91"/>
    </row>
    <row r="315" spans="1:11" ht="15.75" thickBot="1" x14ac:dyDescent="0.3">
      <c r="A315" s="4" t="s">
        <v>25</v>
      </c>
      <c r="B315" s="6">
        <f>SUM(B299:B314)</f>
        <v>294905.17</v>
      </c>
      <c r="C315" s="6"/>
      <c r="D315" s="6">
        <f>SUM(D299:D314)</f>
        <v>114083.82999999999</v>
      </c>
      <c r="E315" s="6">
        <f>SUM(E299:E314)</f>
        <v>64704</v>
      </c>
      <c r="F315" s="6"/>
      <c r="G315" s="90">
        <f>SUM(G299:H314)</f>
        <v>474083</v>
      </c>
      <c r="H315" s="91"/>
    </row>
    <row r="316" spans="1:11" x14ac:dyDescent="0.25">
      <c r="A316" s="92" t="s">
        <v>26</v>
      </c>
      <c r="B316" s="92"/>
      <c r="C316" s="92"/>
      <c r="D316" s="92"/>
      <c r="E316" s="92"/>
      <c r="F316" s="92"/>
      <c r="G316" s="92"/>
      <c r="H316" s="92"/>
    </row>
    <row r="317" spans="1:11" x14ac:dyDescent="0.25">
      <c r="A317" s="93" t="s">
        <v>27</v>
      </c>
      <c r="B317" s="93"/>
      <c r="C317" s="93"/>
      <c r="D317" s="93"/>
      <c r="E317" s="93"/>
      <c r="F317" s="93"/>
      <c r="G317" s="93"/>
      <c r="H317" s="93"/>
    </row>
    <row r="318" spans="1:11" x14ac:dyDescent="0.25">
      <c r="A318" s="93" t="s">
        <v>28</v>
      </c>
      <c r="B318" s="93"/>
      <c r="C318" s="93"/>
      <c r="D318" s="93"/>
      <c r="E318" s="93"/>
      <c r="F318" s="93"/>
      <c r="G318" s="93"/>
      <c r="H318" s="93"/>
      <c r="K318" s="10">
        <f>G821-G816</f>
        <v>0</v>
      </c>
    </row>
    <row r="319" spans="1:11" x14ac:dyDescent="0.25">
      <c r="B319" s="10" t="s">
        <v>256</v>
      </c>
      <c r="C319" s="10">
        <v>294899</v>
      </c>
      <c r="K319" s="10">
        <f>K318-244898</f>
        <v>-244898</v>
      </c>
    </row>
    <row r="320" spans="1:11" x14ac:dyDescent="0.25">
      <c r="C320" s="10">
        <f>C319-B315</f>
        <v>-6.1699999999837019</v>
      </c>
    </row>
    <row r="323" spans="1:9" x14ac:dyDescent="0.25">
      <c r="A323" s="85"/>
      <c r="B323" s="86"/>
      <c r="C323" s="86"/>
      <c r="D323" s="86"/>
      <c r="E323" s="112" t="s">
        <v>29</v>
      </c>
      <c r="F323" s="112"/>
      <c r="G323" s="112"/>
      <c r="H323" s="112"/>
    </row>
    <row r="324" spans="1:9" x14ac:dyDescent="0.25">
      <c r="A324" s="113"/>
      <c r="B324" s="114"/>
      <c r="C324" s="114"/>
      <c r="D324" s="115"/>
      <c r="E324" s="115" t="s">
        <v>0</v>
      </c>
      <c r="F324" s="115"/>
      <c r="G324" s="115"/>
      <c r="H324" s="115"/>
    </row>
    <row r="325" spans="1:9" x14ac:dyDescent="0.25">
      <c r="A325" s="113"/>
      <c r="B325" s="114"/>
      <c r="C325" s="114"/>
      <c r="D325" s="115"/>
      <c r="E325" s="128" t="s">
        <v>31</v>
      </c>
      <c r="F325" s="115"/>
      <c r="G325" s="115"/>
      <c r="H325" s="115"/>
    </row>
    <row r="326" spans="1:9" ht="15.75" thickBot="1" x14ac:dyDescent="0.3">
      <c r="A326" s="98" t="s">
        <v>257</v>
      </c>
      <c r="B326" s="98"/>
      <c r="C326" s="98"/>
      <c r="D326" s="98"/>
      <c r="E326" s="98"/>
      <c r="F326" s="98"/>
      <c r="G326" s="98"/>
      <c r="H326" s="98"/>
    </row>
    <row r="327" spans="1:9" x14ac:dyDescent="0.25">
      <c r="A327" s="100" t="s">
        <v>2</v>
      </c>
      <c r="B327" s="103" t="s">
        <v>30</v>
      </c>
      <c r="C327" s="104"/>
      <c r="D327" s="104"/>
      <c r="E327" s="104"/>
      <c r="F327" s="104"/>
      <c r="G327" s="105" t="s">
        <v>3</v>
      </c>
      <c r="H327" s="106"/>
    </row>
    <row r="328" spans="1:9" ht="135.75" thickBot="1" x14ac:dyDescent="0.3">
      <c r="A328" s="124"/>
      <c r="B328" s="105" t="s">
        <v>30</v>
      </c>
      <c r="C328" s="105"/>
      <c r="D328" s="15" t="s">
        <v>32</v>
      </c>
      <c r="E328" s="105" t="s">
        <v>4</v>
      </c>
      <c r="F328" s="105"/>
      <c r="G328" s="125"/>
      <c r="H328" s="109"/>
    </row>
    <row r="329" spans="1:9" ht="165.75" thickBot="1" x14ac:dyDescent="0.3">
      <c r="A329" s="102"/>
      <c r="B329" s="14" t="s">
        <v>36</v>
      </c>
      <c r="C329" s="83" t="s">
        <v>5</v>
      </c>
      <c r="D329" s="15" t="s">
        <v>33</v>
      </c>
      <c r="E329" s="83" t="s">
        <v>34</v>
      </c>
      <c r="F329" s="89" t="s">
        <v>35</v>
      </c>
      <c r="G329" s="110"/>
      <c r="H329" s="111"/>
    </row>
    <row r="330" spans="1:9" ht="15.75" thickBot="1" x14ac:dyDescent="0.3">
      <c r="A330" s="82">
        <v>1</v>
      </c>
      <c r="B330" s="89">
        <v>2</v>
      </c>
      <c r="C330" s="11">
        <v>3</v>
      </c>
      <c r="D330" s="89">
        <v>4</v>
      </c>
      <c r="E330" s="11">
        <v>5</v>
      </c>
      <c r="F330" s="89">
        <v>6</v>
      </c>
      <c r="G330" s="96" t="s">
        <v>6</v>
      </c>
      <c r="H330" s="97"/>
    </row>
    <row r="331" spans="1:9" ht="60.75" thickBot="1" x14ac:dyDescent="0.3">
      <c r="A331" s="2" t="s">
        <v>7</v>
      </c>
      <c r="B331" s="6">
        <f>B332</f>
        <v>178315.83000000002</v>
      </c>
      <c r="C331" s="12"/>
      <c r="D331" s="6">
        <f>D332</f>
        <v>53263.169999999984</v>
      </c>
      <c r="E331" s="8" t="s">
        <v>8</v>
      </c>
      <c r="F331" s="8" t="s">
        <v>8</v>
      </c>
      <c r="G331" s="90">
        <f>233864-910-1375</f>
        <v>231579</v>
      </c>
      <c r="H331" s="91"/>
    </row>
    <row r="332" spans="1:9" ht="15.75" thickBot="1" x14ac:dyDescent="0.3">
      <c r="A332" s="3" t="s">
        <v>9</v>
      </c>
      <c r="B332" s="6">
        <f>G332*77%</f>
        <v>178315.83000000002</v>
      </c>
      <c r="C332" s="12"/>
      <c r="D332" s="84">
        <f>G332-B332</f>
        <v>53263.169999999984</v>
      </c>
      <c r="E332" s="8" t="s">
        <v>8</v>
      </c>
      <c r="F332" s="8" t="s">
        <v>8</v>
      </c>
      <c r="G332" s="90">
        <f>G331</f>
        <v>231579</v>
      </c>
      <c r="H332" s="91"/>
    </row>
    <row r="333" spans="1:9" ht="15.75" thickBot="1" x14ac:dyDescent="0.3">
      <c r="A333" s="2" t="s">
        <v>10</v>
      </c>
      <c r="B333" s="6">
        <v>0</v>
      </c>
      <c r="C333" s="12"/>
      <c r="D333" s="6">
        <v>0</v>
      </c>
      <c r="E333" s="8" t="s">
        <v>8</v>
      </c>
      <c r="F333" s="8" t="s">
        <v>8</v>
      </c>
      <c r="G333" s="90">
        <v>0</v>
      </c>
      <c r="H333" s="91"/>
    </row>
    <row r="334" spans="1:9" ht="60.75" thickBot="1" x14ac:dyDescent="0.3">
      <c r="A334" s="2" t="s">
        <v>11</v>
      </c>
      <c r="B334" s="6">
        <f>G334*77%</f>
        <v>92054.27</v>
      </c>
      <c r="C334" s="12"/>
      <c r="D334" s="84">
        <f>G334-B334</f>
        <v>27496.729999999996</v>
      </c>
      <c r="E334" s="8" t="s">
        <v>8</v>
      </c>
      <c r="F334" s="8" t="s">
        <v>8</v>
      </c>
      <c r="G334" s="90">
        <f>120247-696</f>
        <v>119551</v>
      </c>
      <c r="H334" s="91"/>
    </row>
    <row r="335" spans="1:9" ht="30.75" thickBot="1" x14ac:dyDescent="0.3">
      <c r="A335" s="2" t="s">
        <v>12</v>
      </c>
      <c r="B335" s="6">
        <f>G335*77%</f>
        <v>2295.37</v>
      </c>
      <c r="C335" s="12"/>
      <c r="D335" s="84">
        <f>G335-B335</f>
        <v>685.63000000000011</v>
      </c>
      <c r="E335" s="8" t="s">
        <v>8</v>
      </c>
      <c r="F335" s="8" t="s">
        <v>8</v>
      </c>
      <c r="G335" s="90">
        <f>696+1375+910</f>
        <v>2981</v>
      </c>
      <c r="H335" s="91"/>
      <c r="I335" s="10">
        <f>G332+G334+G335</f>
        <v>354111</v>
      </c>
    </row>
    <row r="336" spans="1:9" ht="15.75" thickBot="1" x14ac:dyDescent="0.3">
      <c r="A336" s="2" t="s">
        <v>13</v>
      </c>
      <c r="B336" s="6">
        <f>G336*56%</f>
        <v>7154.56</v>
      </c>
      <c r="C336" s="6"/>
      <c r="D336" s="84">
        <f>G336-B336</f>
        <v>5621.44</v>
      </c>
      <c r="E336" s="8" t="s">
        <v>8</v>
      </c>
      <c r="F336" s="8" t="s">
        <v>8</v>
      </c>
      <c r="G336" s="90">
        <v>12776</v>
      </c>
      <c r="H336" s="91"/>
    </row>
    <row r="337" spans="1:11" ht="30.75" thickBot="1" x14ac:dyDescent="0.3">
      <c r="A337" s="2" t="s">
        <v>14</v>
      </c>
      <c r="B337" s="6">
        <f>G337*56%</f>
        <v>6721.1200000000008</v>
      </c>
      <c r="C337" s="6"/>
      <c r="D337" s="84">
        <f>G337-B337</f>
        <v>5280.8799999999992</v>
      </c>
      <c r="E337" s="8" t="s">
        <v>8</v>
      </c>
      <c r="F337" s="8" t="s">
        <v>8</v>
      </c>
      <c r="G337" s="90">
        <f>24778-G336</f>
        <v>12002</v>
      </c>
      <c r="H337" s="91"/>
    </row>
    <row r="338" spans="1:11" ht="45.75" thickBot="1" x14ac:dyDescent="0.3">
      <c r="A338" s="2" t="s">
        <v>15</v>
      </c>
      <c r="B338" s="8" t="s">
        <v>8</v>
      </c>
      <c r="C338" s="8" t="s">
        <v>8</v>
      </c>
      <c r="D338" s="6"/>
      <c r="E338" s="8" t="s">
        <v>8</v>
      </c>
      <c r="F338" s="8" t="s">
        <v>8</v>
      </c>
      <c r="G338" s="90"/>
      <c r="H338" s="91"/>
    </row>
    <row r="339" spans="1:11" ht="15.75" thickBot="1" x14ac:dyDescent="0.3">
      <c r="A339" s="2" t="s">
        <v>16</v>
      </c>
      <c r="B339" s="8" t="s">
        <v>8</v>
      </c>
      <c r="C339" s="8" t="s">
        <v>8</v>
      </c>
      <c r="D339" s="12"/>
      <c r="E339" s="6"/>
      <c r="F339" s="6"/>
      <c r="G339" s="90">
        <v>390</v>
      </c>
      <c r="H339" s="91"/>
    </row>
    <row r="340" spans="1:11" ht="15.75" thickBot="1" x14ac:dyDescent="0.3">
      <c r="A340" s="3" t="s">
        <v>17</v>
      </c>
      <c r="B340" s="6">
        <f>G340*56%</f>
        <v>0</v>
      </c>
      <c r="C340" s="8"/>
      <c r="D340" s="6"/>
      <c r="E340" s="6">
        <f>G340-B340</f>
        <v>0</v>
      </c>
      <c r="F340" s="6"/>
      <c r="G340" s="90">
        <v>0</v>
      </c>
      <c r="H340" s="91"/>
    </row>
    <row r="341" spans="1:11" ht="15.75" thickBot="1" x14ac:dyDescent="0.3">
      <c r="A341" s="3" t="s">
        <v>18</v>
      </c>
      <c r="B341" s="6"/>
      <c r="C341" s="8"/>
      <c r="D341" s="8"/>
      <c r="E341" s="6"/>
      <c r="F341" s="6"/>
      <c r="G341" s="90"/>
      <c r="H341" s="91"/>
    </row>
    <row r="342" spans="1:11" ht="45.75" thickBot="1" x14ac:dyDescent="0.3">
      <c r="A342" s="2" t="s">
        <v>19</v>
      </c>
      <c r="B342" s="6"/>
      <c r="C342" s="8"/>
      <c r="D342" s="6"/>
      <c r="E342" s="6"/>
      <c r="F342" s="6"/>
      <c r="G342" s="94"/>
      <c r="H342" s="95"/>
      <c r="J342" s="10">
        <f>G336+G337+G339+G344+G345+I335+G343</f>
        <v>545058</v>
      </c>
    </row>
    <row r="343" spans="1:11" ht="30.75" thickBot="1" x14ac:dyDescent="0.3">
      <c r="A343" s="2" t="s">
        <v>20</v>
      </c>
      <c r="B343" s="6"/>
      <c r="C343" s="8"/>
      <c r="D343" s="6"/>
      <c r="E343" s="6">
        <f>G343</f>
        <v>71947</v>
      </c>
      <c r="F343" s="6"/>
      <c r="G343" s="90">
        <v>71947</v>
      </c>
      <c r="H343" s="91"/>
    </row>
    <row r="344" spans="1:11" ht="30.75" thickBot="1" x14ac:dyDescent="0.3">
      <c r="A344" s="2" t="s">
        <v>21</v>
      </c>
      <c r="B344" s="6">
        <f>G344*56%</f>
        <v>29576.400000000001</v>
      </c>
      <c r="C344" s="6"/>
      <c r="D344" s="84">
        <f>G344-B344</f>
        <v>23238.6</v>
      </c>
      <c r="E344" s="8" t="s">
        <v>8</v>
      </c>
      <c r="F344" s="8" t="s">
        <v>8</v>
      </c>
      <c r="G344" s="90">
        <f>53205-G339</f>
        <v>52815</v>
      </c>
      <c r="H344" s="91"/>
      <c r="J344" s="10">
        <f>G343-19406</f>
        <v>52541</v>
      </c>
    </row>
    <row r="345" spans="1:11" ht="15.75" thickBot="1" x14ac:dyDescent="0.3">
      <c r="A345" s="3" t="s">
        <v>22</v>
      </c>
      <c r="B345" s="6">
        <f>G345*56%</f>
        <v>22969.52</v>
      </c>
      <c r="C345" s="6"/>
      <c r="D345" s="84">
        <f>G345-B345</f>
        <v>18047.48</v>
      </c>
      <c r="E345" s="8" t="s">
        <v>8</v>
      </c>
      <c r="F345" s="8" t="s">
        <v>8</v>
      </c>
      <c r="G345" s="90">
        <f>17114+8463+14114+1326</f>
        <v>41017</v>
      </c>
      <c r="H345" s="91"/>
      <c r="J345" s="10">
        <f>473111-G348</f>
        <v>-71947</v>
      </c>
    </row>
    <row r="346" spans="1:11" ht="15.75" thickBot="1" x14ac:dyDescent="0.3">
      <c r="A346" s="3" t="s">
        <v>23</v>
      </c>
      <c r="B346" s="8" t="s">
        <v>8</v>
      </c>
      <c r="C346" s="12"/>
      <c r="D346" s="8" t="s">
        <v>8</v>
      </c>
      <c r="E346" s="8" t="s">
        <v>8</v>
      </c>
      <c r="F346" s="8" t="s">
        <v>8</v>
      </c>
      <c r="G346" s="94"/>
      <c r="H346" s="95"/>
    </row>
    <row r="347" spans="1:11" ht="15.75" thickBot="1" x14ac:dyDescent="0.3">
      <c r="A347" s="3" t="s">
        <v>24</v>
      </c>
      <c r="B347" s="6"/>
      <c r="C347" s="6"/>
      <c r="D347" s="6"/>
      <c r="E347" s="8" t="s">
        <v>8</v>
      </c>
      <c r="F347" s="8" t="s">
        <v>8</v>
      </c>
      <c r="G347" s="90"/>
      <c r="H347" s="91"/>
    </row>
    <row r="348" spans="1:11" ht="15.75" thickBot="1" x14ac:dyDescent="0.3">
      <c r="A348" s="4" t="s">
        <v>25</v>
      </c>
      <c r="B348" s="6">
        <f>SUM(B332:B347)</f>
        <v>339087.07000000007</v>
      </c>
      <c r="C348" s="6"/>
      <c r="D348" s="6">
        <f>SUM(D332:D347)</f>
        <v>133633.93</v>
      </c>
      <c r="E348" s="6">
        <f>SUM(E332:E347)</f>
        <v>71947</v>
      </c>
      <c r="F348" s="6"/>
      <c r="G348" s="90">
        <f>SUM(G332:H347)</f>
        <v>545058</v>
      </c>
      <c r="H348" s="91"/>
      <c r="J348" s="10">
        <f>362560-G348</f>
        <v>-182498</v>
      </c>
    </row>
    <row r="349" spans="1:11" x14ac:dyDescent="0.25">
      <c r="A349" s="92" t="s">
        <v>26</v>
      </c>
      <c r="B349" s="92"/>
      <c r="C349" s="92"/>
      <c r="D349" s="92"/>
      <c r="E349" s="92"/>
      <c r="F349" s="92"/>
      <c r="G349" s="92"/>
      <c r="H349" s="92"/>
    </row>
    <row r="350" spans="1:11" x14ac:dyDescent="0.25">
      <c r="A350" s="93" t="s">
        <v>27</v>
      </c>
      <c r="B350" s="93"/>
      <c r="C350" s="93"/>
      <c r="D350" s="93"/>
      <c r="E350" s="93"/>
      <c r="F350" s="93"/>
      <c r="G350" s="93"/>
      <c r="H350" s="93"/>
    </row>
    <row r="351" spans="1:11" x14ac:dyDescent="0.25">
      <c r="A351" s="93" t="s">
        <v>28</v>
      </c>
      <c r="B351" s="93"/>
      <c r="C351" s="93"/>
      <c r="D351" s="93"/>
      <c r="E351" s="93"/>
      <c r="F351" s="93"/>
      <c r="G351" s="93"/>
      <c r="H351" s="93"/>
      <c r="K351" s="10">
        <f>G854-G849</f>
        <v>0</v>
      </c>
    </row>
    <row r="352" spans="1:11" x14ac:dyDescent="0.25">
      <c r="B352" s="10" t="s">
        <v>258</v>
      </c>
      <c r="C352" s="10">
        <v>294899</v>
      </c>
      <c r="K352" s="10">
        <f>K351-244898</f>
        <v>-244898</v>
      </c>
    </row>
    <row r="353" spans="1:8" x14ac:dyDescent="0.25">
      <c r="C353" s="10">
        <f>C352-B348</f>
        <v>-44188.070000000065</v>
      </c>
    </row>
    <row r="358" spans="1:8" x14ac:dyDescent="0.25">
      <c r="A358" s="85"/>
      <c r="B358" s="86"/>
      <c r="C358" s="86"/>
      <c r="D358" s="86"/>
      <c r="E358" s="112" t="s">
        <v>29</v>
      </c>
      <c r="F358" s="112"/>
      <c r="G358" s="112"/>
      <c r="H358" s="112"/>
    </row>
    <row r="359" spans="1:8" x14ac:dyDescent="0.25">
      <c r="A359" s="113"/>
      <c r="B359" s="114"/>
      <c r="C359" s="114"/>
      <c r="D359" s="115"/>
      <c r="E359" s="115" t="s">
        <v>0</v>
      </c>
      <c r="F359" s="115"/>
      <c r="G359" s="115"/>
      <c r="H359" s="115"/>
    </row>
    <row r="360" spans="1:8" x14ac:dyDescent="0.25">
      <c r="A360" s="113"/>
      <c r="B360" s="114"/>
      <c r="C360" s="114"/>
      <c r="D360" s="115"/>
      <c r="E360" s="123" t="s">
        <v>31</v>
      </c>
      <c r="F360" s="115"/>
      <c r="G360" s="115"/>
      <c r="H360" s="115"/>
    </row>
    <row r="361" spans="1:8" ht="15.75" thickBot="1" x14ac:dyDescent="0.3">
      <c r="A361" s="98" t="s">
        <v>268</v>
      </c>
      <c r="B361" s="98"/>
      <c r="C361" s="98"/>
      <c r="D361" s="98"/>
      <c r="E361" s="98"/>
      <c r="F361" s="98"/>
      <c r="G361" s="98"/>
      <c r="H361" s="98"/>
    </row>
    <row r="362" spans="1:8" x14ac:dyDescent="0.25">
      <c r="A362" s="100" t="s">
        <v>2</v>
      </c>
      <c r="B362" s="103" t="s">
        <v>30</v>
      </c>
      <c r="C362" s="104"/>
      <c r="D362" s="104"/>
      <c r="E362" s="104"/>
      <c r="F362" s="104"/>
      <c r="G362" s="105" t="s">
        <v>3</v>
      </c>
      <c r="H362" s="106"/>
    </row>
    <row r="363" spans="1:8" ht="135.75" thickBot="1" x14ac:dyDescent="0.3">
      <c r="A363" s="124"/>
      <c r="B363" s="105" t="s">
        <v>30</v>
      </c>
      <c r="C363" s="105"/>
      <c r="D363" s="15" t="s">
        <v>32</v>
      </c>
      <c r="E363" s="105" t="s">
        <v>4</v>
      </c>
      <c r="F363" s="105"/>
      <c r="G363" s="125"/>
      <c r="H363" s="109"/>
    </row>
    <row r="364" spans="1:8" ht="165.75" thickBot="1" x14ac:dyDescent="0.3">
      <c r="A364" s="102"/>
      <c r="B364" s="14" t="s">
        <v>36</v>
      </c>
      <c r="C364" s="83" t="s">
        <v>5</v>
      </c>
      <c r="D364" s="15" t="s">
        <v>33</v>
      </c>
      <c r="E364" s="83" t="s">
        <v>34</v>
      </c>
      <c r="F364" s="89" t="s">
        <v>35</v>
      </c>
      <c r="G364" s="110"/>
      <c r="H364" s="111"/>
    </row>
    <row r="365" spans="1:8" ht="15.75" thickBot="1" x14ac:dyDescent="0.3">
      <c r="A365" s="82">
        <v>1</v>
      </c>
      <c r="B365" s="89">
        <v>2</v>
      </c>
      <c r="C365" s="11">
        <v>3</v>
      </c>
      <c r="D365" s="89">
        <v>4</v>
      </c>
      <c r="E365" s="11">
        <v>5</v>
      </c>
      <c r="F365" s="89">
        <v>6</v>
      </c>
      <c r="G365" s="96" t="s">
        <v>6</v>
      </c>
      <c r="H365" s="97"/>
    </row>
    <row r="366" spans="1:8" ht="60.75" thickBot="1" x14ac:dyDescent="0.3">
      <c r="A366" s="2" t="s">
        <v>7</v>
      </c>
      <c r="B366" s="6">
        <f>B367</f>
        <v>198929.5</v>
      </c>
      <c r="C366" s="12"/>
      <c r="D366" s="6">
        <f>D367</f>
        <v>59420.5</v>
      </c>
      <c r="E366" s="8" t="s">
        <v>8</v>
      </c>
      <c r="F366" s="8" t="s">
        <v>8</v>
      </c>
      <c r="G366" s="90">
        <f>260829-1569-910</f>
        <v>258350</v>
      </c>
      <c r="H366" s="91"/>
    </row>
    <row r="367" spans="1:8" ht="15.75" thickBot="1" x14ac:dyDescent="0.3">
      <c r="A367" s="3" t="s">
        <v>9</v>
      </c>
      <c r="B367" s="6">
        <f>G367*77%</f>
        <v>198929.5</v>
      </c>
      <c r="C367" s="12"/>
      <c r="D367" s="84">
        <f>G367-B367</f>
        <v>59420.5</v>
      </c>
      <c r="E367" s="8" t="s">
        <v>8</v>
      </c>
      <c r="F367" s="8" t="s">
        <v>8</v>
      </c>
      <c r="G367" s="90">
        <f>G366</f>
        <v>258350</v>
      </c>
      <c r="H367" s="91"/>
    </row>
    <row r="368" spans="1:8" ht="15.75" thickBot="1" x14ac:dyDescent="0.3">
      <c r="A368" s="2" t="s">
        <v>10</v>
      </c>
      <c r="B368" s="6">
        <v>0</v>
      </c>
      <c r="C368" s="12"/>
      <c r="D368" s="6">
        <v>0</v>
      </c>
      <c r="E368" s="8" t="s">
        <v>8</v>
      </c>
      <c r="F368" s="8" t="s">
        <v>8</v>
      </c>
      <c r="G368" s="90">
        <v>0</v>
      </c>
      <c r="H368" s="91"/>
    </row>
    <row r="369" spans="1:11" ht="60.75" thickBot="1" x14ac:dyDescent="0.3">
      <c r="A369" s="2" t="s">
        <v>11</v>
      </c>
      <c r="B369" s="6">
        <f>G369*77%</f>
        <v>100002.98</v>
      </c>
      <c r="C369" s="12"/>
      <c r="D369" s="84">
        <f>G369-B369</f>
        <v>29871.020000000004</v>
      </c>
      <c r="E369" s="8" t="s">
        <v>8</v>
      </c>
      <c r="F369" s="8" t="s">
        <v>8</v>
      </c>
      <c r="G369" s="90">
        <f>130757-760-123</f>
        <v>129874</v>
      </c>
      <c r="H369" s="91"/>
    </row>
    <row r="370" spans="1:11" ht="30.75" thickBot="1" x14ac:dyDescent="0.3">
      <c r="A370" s="2" t="s">
        <v>12</v>
      </c>
      <c r="B370" s="6">
        <f>G370*77%</f>
        <v>2588.7400000000002</v>
      </c>
      <c r="C370" s="12"/>
      <c r="D370" s="84">
        <f>G370-B370</f>
        <v>773.25999999999976</v>
      </c>
      <c r="E370" s="8" t="s">
        <v>8</v>
      </c>
      <c r="F370" s="8" t="s">
        <v>8</v>
      </c>
      <c r="G370" s="90">
        <f>1569+910+123+760</f>
        <v>3362</v>
      </c>
      <c r="H370" s="91"/>
      <c r="I370" s="10">
        <f>G367+G369+G370</f>
        <v>391586</v>
      </c>
    </row>
    <row r="371" spans="1:11" ht="15.75" thickBot="1" x14ac:dyDescent="0.3">
      <c r="A371" s="2" t="s">
        <v>13</v>
      </c>
      <c r="B371" s="6">
        <f>G371*56%</f>
        <v>8137.920000000001</v>
      </c>
      <c r="C371" s="6"/>
      <c r="D371" s="84">
        <f>G371-B371</f>
        <v>6394.079999999999</v>
      </c>
      <c r="E371" s="8" t="s">
        <v>8</v>
      </c>
      <c r="F371" s="8" t="s">
        <v>8</v>
      </c>
      <c r="G371" s="90">
        <v>14532</v>
      </c>
      <c r="H371" s="91"/>
    </row>
    <row r="372" spans="1:11" ht="30.75" thickBot="1" x14ac:dyDescent="0.3">
      <c r="A372" s="2" t="s">
        <v>14</v>
      </c>
      <c r="B372" s="6">
        <f>G372*56%</f>
        <v>7424.4800000000005</v>
      </c>
      <c r="C372" s="6"/>
      <c r="D372" s="84">
        <f>G372-B372</f>
        <v>5833.5199999999995</v>
      </c>
      <c r="E372" s="8" t="s">
        <v>8</v>
      </c>
      <c r="F372" s="8" t="s">
        <v>8</v>
      </c>
      <c r="G372" s="90">
        <v>13258</v>
      </c>
      <c r="H372" s="91"/>
    </row>
    <row r="373" spans="1:11" ht="45.75" thickBot="1" x14ac:dyDescent="0.3">
      <c r="A373" s="2" t="s">
        <v>15</v>
      </c>
      <c r="B373" s="8" t="s">
        <v>8</v>
      </c>
      <c r="C373" s="8" t="s">
        <v>8</v>
      </c>
      <c r="D373" s="6"/>
      <c r="E373" s="8" t="s">
        <v>8</v>
      </c>
      <c r="F373" s="8" t="s">
        <v>8</v>
      </c>
      <c r="G373" s="90"/>
      <c r="H373" s="91"/>
    </row>
    <row r="374" spans="1:11" ht="15.75" thickBot="1" x14ac:dyDescent="0.3">
      <c r="A374" s="2" t="s">
        <v>16</v>
      </c>
      <c r="B374" s="8" t="s">
        <v>8</v>
      </c>
      <c r="C374" s="8" t="s">
        <v>8</v>
      </c>
      <c r="D374" s="12"/>
      <c r="E374" s="6"/>
      <c r="F374" s="6"/>
      <c r="G374" s="90"/>
      <c r="H374" s="91"/>
    </row>
    <row r="375" spans="1:11" ht="15.75" thickBot="1" x14ac:dyDescent="0.3">
      <c r="A375" s="3" t="s">
        <v>17</v>
      </c>
      <c r="B375" s="6">
        <f>G375*56%</f>
        <v>0</v>
      </c>
      <c r="C375" s="8"/>
      <c r="D375" s="6"/>
      <c r="E375" s="6">
        <f>G375-B375</f>
        <v>0</v>
      </c>
      <c r="F375" s="6"/>
      <c r="G375" s="90">
        <v>0</v>
      </c>
      <c r="H375" s="91"/>
    </row>
    <row r="376" spans="1:11" ht="15.75" thickBot="1" x14ac:dyDescent="0.3">
      <c r="A376" s="3" t="s">
        <v>18</v>
      </c>
      <c r="B376" s="6"/>
      <c r="C376" s="8"/>
      <c r="D376" s="8"/>
      <c r="E376" s="6"/>
      <c r="F376" s="6"/>
      <c r="G376" s="90"/>
      <c r="H376" s="91"/>
    </row>
    <row r="377" spans="1:11" ht="45.75" thickBot="1" x14ac:dyDescent="0.3">
      <c r="A377" s="2" t="s">
        <v>19</v>
      </c>
      <c r="B377" s="6"/>
      <c r="C377" s="8"/>
      <c r="D377" s="6"/>
      <c r="E377" s="6"/>
      <c r="F377" s="6"/>
      <c r="G377" s="94"/>
      <c r="H377" s="95"/>
      <c r="J377" s="10">
        <f>G371+G372+G374+G379+G380+I370+G378</f>
        <v>602134</v>
      </c>
    </row>
    <row r="378" spans="1:11" ht="30.75" thickBot="1" x14ac:dyDescent="0.3">
      <c r="A378" s="2" t="s">
        <v>20</v>
      </c>
      <c r="B378" s="6"/>
      <c r="C378" s="8"/>
      <c r="D378" s="6"/>
      <c r="E378" s="6">
        <f>G378</f>
        <v>79598</v>
      </c>
      <c r="F378" s="6"/>
      <c r="G378" s="90">
        <v>79598</v>
      </c>
      <c r="H378" s="91"/>
    </row>
    <row r="379" spans="1:11" ht="30.75" thickBot="1" x14ac:dyDescent="0.3">
      <c r="A379" s="2" t="s">
        <v>21</v>
      </c>
      <c r="B379" s="6">
        <f>G379*56%</f>
        <v>34110.160000000003</v>
      </c>
      <c r="C379" s="6"/>
      <c r="D379" s="84">
        <f>G379-B379</f>
        <v>26800.839999999997</v>
      </c>
      <c r="E379" s="8" t="s">
        <v>8</v>
      </c>
      <c r="F379" s="8" t="s">
        <v>8</v>
      </c>
      <c r="G379" s="90">
        <v>60911</v>
      </c>
      <c r="H379" s="91"/>
      <c r="J379" s="10">
        <f>G378-19406</f>
        <v>60192</v>
      </c>
    </row>
    <row r="380" spans="1:11" ht="15.75" thickBot="1" x14ac:dyDescent="0.3">
      <c r="A380" s="3" t="s">
        <v>22</v>
      </c>
      <c r="B380" s="6">
        <f>G380*56%</f>
        <v>23659.440000000002</v>
      </c>
      <c r="C380" s="6"/>
      <c r="D380" s="84">
        <f>G380-B380</f>
        <v>18589.559999999998</v>
      </c>
      <c r="E380" s="8" t="s">
        <v>8</v>
      </c>
      <c r="F380" s="8" t="s">
        <v>8</v>
      </c>
      <c r="G380" s="90">
        <f>17114+8513+1367+15255</f>
        <v>42249</v>
      </c>
      <c r="H380" s="91"/>
      <c r="J380" s="10">
        <f>507593-G383</f>
        <v>-94541</v>
      </c>
      <c r="K380" s="10">
        <f>J379+J383</f>
        <v>-114506</v>
      </c>
    </row>
    <row r="381" spans="1:11" ht="15.75" thickBot="1" x14ac:dyDescent="0.3">
      <c r="A381" s="3" t="s">
        <v>23</v>
      </c>
      <c r="B381" s="8" t="s">
        <v>8</v>
      </c>
      <c r="C381" s="12"/>
      <c r="D381" s="8" t="s">
        <v>8</v>
      </c>
      <c r="E381" s="8" t="s">
        <v>8</v>
      </c>
      <c r="F381" s="8" t="s">
        <v>8</v>
      </c>
      <c r="G381" s="94"/>
      <c r="H381" s="95"/>
    </row>
    <row r="382" spans="1:11" ht="15.75" thickBot="1" x14ac:dyDescent="0.3">
      <c r="A382" s="3" t="s">
        <v>24</v>
      </c>
      <c r="B382" s="6"/>
      <c r="C382" s="6"/>
      <c r="D382" s="6"/>
      <c r="E382" s="8" t="s">
        <v>8</v>
      </c>
      <c r="F382" s="8" t="s">
        <v>8</v>
      </c>
      <c r="G382" s="90"/>
      <c r="H382" s="91"/>
    </row>
    <row r="383" spans="1:11" ht="15.75" thickBot="1" x14ac:dyDescent="0.3">
      <c r="A383" s="4" t="s">
        <v>25</v>
      </c>
      <c r="B383" s="6">
        <f>SUM(B367:B382)</f>
        <v>374853.21999999991</v>
      </c>
      <c r="C383" s="6"/>
      <c r="D383" s="6">
        <f>SUM(D367:D382)</f>
        <v>147682.78</v>
      </c>
      <c r="E383" s="6">
        <f>SUM(E367:E382)</f>
        <v>79598</v>
      </c>
      <c r="F383" s="6"/>
      <c r="G383" s="90">
        <f>SUM(G367:H382)</f>
        <v>602134</v>
      </c>
      <c r="H383" s="91"/>
      <c r="J383" s="10">
        <f>427436-G383</f>
        <v>-174698</v>
      </c>
    </row>
    <row r="384" spans="1:11" x14ac:dyDescent="0.25">
      <c r="A384" s="92" t="s">
        <v>26</v>
      </c>
      <c r="B384" s="92"/>
      <c r="C384" s="92"/>
      <c r="D384" s="92"/>
      <c r="E384" s="92"/>
      <c r="F384" s="92"/>
      <c r="G384" s="92"/>
      <c r="H384" s="92"/>
    </row>
    <row r="385" spans="1:11" x14ac:dyDescent="0.25">
      <c r="A385" s="93" t="s">
        <v>27</v>
      </c>
      <c r="B385" s="93"/>
      <c r="C385" s="93"/>
      <c r="D385" s="93"/>
      <c r="E385" s="93"/>
      <c r="F385" s="93"/>
      <c r="G385" s="93"/>
      <c r="H385" s="93"/>
    </row>
    <row r="386" spans="1:11" x14ac:dyDescent="0.25">
      <c r="A386" s="93" t="s">
        <v>28</v>
      </c>
      <c r="B386" s="93"/>
      <c r="C386" s="93"/>
      <c r="D386" s="93"/>
      <c r="E386" s="93"/>
      <c r="F386" s="93"/>
      <c r="G386" s="93"/>
      <c r="H386" s="93"/>
      <c r="K386" s="10">
        <f>G889-G884</f>
        <v>0</v>
      </c>
    </row>
    <row r="387" spans="1:11" x14ac:dyDescent="0.25">
      <c r="B387" s="10" t="s">
        <v>269</v>
      </c>
      <c r="C387" s="10">
        <v>360431</v>
      </c>
      <c r="K387" s="10">
        <f>K386-244898</f>
        <v>-244898</v>
      </c>
    </row>
    <row r="388" spans="1:11" x14ac:dyDescent="0.25">
      <c r="C388" s="10">
        <f>C387-B383</f>
        <v>-14422.219999999914</v>
      </c>
    </row>
    <row r="394" spans="1:11" x14ac:dyDescent="0.25">
      <c r="A394" s="85"/>
      <c r="B394" s="86"/>
      <c r="C394" s="86"/>
      <c r="D394" s="86"/>
      <c r="E394" s="112"/>
      <c r="F394" s="112"/>
      <c r="G394" s="112"/>
      <c r="H394" s="112"/>
    </row>
    <row r="395" spans="1:11" ht="11.45" customHeight="1" x14ac:dyDescent="0.25">
      <c r="A395" s="113"/>
      <c r="B395" s="114"/>
      <c r="C395" s="114"/>
      <c r="D395" s="115"/>
      <c r="E395" s="115"/>
      <c r="F395" s="115"/>
      <c r="G395" s="115"/>
      <c r="H395" s="115"/>
    </row>
    <row r="396" spans="1:11" ht="11.45" customHeight="1" x14ac:dyDescent="0.25">
      <c r="A396" s="113"/>
      <c r="B396" s="114"/>
      <c r="C396" s="114"/>
      <c r="D396" s="115"/>
      <c r="E396" s="87"/>
      <c r="F396" s="87"/>
      <c r="G396" s="87"/>
      <c r="H396" s="87"/>
    </row>
    <row r="397" spans="1:11" x14ac:dyDescent="0.25">
      <c r="A397" s="113"/>
      <c r="B397" s="114"/>
      <c r="C397" s="114"/>
      <c r="D397" s="115"/>
      <c r="E397" s="128"/>
      <c r="F397" s="115"/>
      <c r="G397" s="115"/>
      <c r="H397" s="115"/>
    </row>
    <row r="398" spans="1:11" x14ac:dyDescent="0.25">
      <c r="A398" s="85"/>
      <c r="B398" s="86"/>
      <c r="C398" s="86"/>
      <c r="D398" s="86"/>
      <c r="E398" s="112" t="s">
        <v>29</v>
      </c>
      <c r="F398" s="112"/>
      <c r="G398" s="112"/>
      <c r="H398" s="112"/>
    </row>
    <row r="399" spans="1:11" x14ac:dyDescent="0.25">
      <c r="A399" s="113"/>
      <c r="B399" s="114"/>
      <c r="C399" s="114"/>
      <c r="D399" s="115"/>
      <c r="E399" s="115" t="s">
        <v>0</v>
      </c>
      <c r="F399" s="115"/>
      <c r="G399" s="115"/>
      <c r="H399" s="115"/>
    </row>
    <row r="400" spans="1:11" x14ac:dyDescent="0.25">
      <c r="A400" s="113"/>
      <c r="B400" s="114"/>
      <c r="C400" s="114"/>
      <c r="D400" s="115"/>
      <c r="E400" s="123" t="s">
        <v>31</v>
      </c>
      <c r="F400" s="115"/>
      <c r="G400" s="115"/>
      <c r="H400" s="115"/>
    </row>
    <row r="401" spans="1:10" ht="15.75" thickBot="1" x14ac:dyDescent="0.3">
      <c r="A401" s="99" t="s">
        <v>270</v>
      </c>
      <c r="B401" s="99"/>
      <c r="C401" s="99"/>
      <c r="D401" s="99"/>
      <c r="E401" s="99"/>
      <c r="F401" s="99"/>
      <c r="G401" s="99"/>
      <c r="H401" s="99"/>
    </row>
    <row r="402" spans="1:10" x14ac:dyDescent="0.25">
      <c r="A402" s="142" t="s">
        <v>2</v>
      </c>
      <c r="B402" s="137" t="s">
        <v>30</v>
      </c>
      <c r="C402" s="144"/>
      <c r="D402" s="144"/>
      <c r="E402" s="144"/>
      <c r="F402" s="144"/>
      <c r="G402" s="137" t="s">
        <v>3</v>
      </c>
      <c r="H402" s="138"/>
    </row>
    <row r="403" spans="1:10" ht="135" x14ac:dyDescent="0.25">
      <c r="A403" s="124"/>
      <c r="B403" s="105" t="s">
        <v>172</v>
      </c>
      <c r="C403" s="105"/>
      <c r="D403" s="83" t="s">
        <v>32</v>
      </c>
      <c r="E403" s="105" t="s">
        <v>4</v>
      </c>
      <c r="F403" s="105"/>
      <c r="G403" s="106"/>
      <c r="H403" s="139"/>
    </row>
    <row r="404" spans="1:10" ht="165.75" thickBot="1" x14ac:dyDescent="0.3">
      <c r="A404" s="143"/>
      <c r="B404" s="88" t="s">
        <v>36</v>
      </c>
      <c r="C404" s="88" t="s">
        <v>5</v>
      </c>
      <c r="D404" s="88" t="s">
        <v>33</v>
      </c>
      <c r="E404" s="88" t="s">
        <v>34</v>
      </c>
      <c r="F404" s="88" t="s">
        <v>35</v>
      </c>
      <c r="G404" s="133" t="s">
        <v>6</v>
      </c>
      <c r="H404" s="134"/>
    </row>
    <row r="405" spans="1:10" ht="15.75" thickBot="1" x14ac:dyDescent="0.3">
      <c r="A405" s="82">
        <v>1</v>
      </c>
      <c r="B405" s="89">
        <v>2</v>
      </c>
      <c r="C405" s="11">
        <v>3</v>
      </c>
      <c r="D405" s="89">
        <v>4</v>
      </c>
      <c r="E405" s="11">
        <v>5</v>
      </c>
      <c r="F405" s="89">
        <v>6</v>
      </c>
      <c r="G405" s="135">
        <v>7</v>
      </c>
      <c r="H405" s="136"/>
    </row>
    <row r="406" spans="1:10" ht="60.75" thickBot="1" x14ac:dyDescent="0.3">
      <c r="A406" s="2" t="s">
        <v>7</v>
      </c>
      <c r="B406" s="6">
        <f>B407</f>
        <v>221155.55000000002</v>
      </c>
      <c r="C406" s="53" t="s">
        <v>8</v>
      </c>
      <c r="D406" s="6">
        <f>D407</f>
        <v>66059.449999999983</v>
      </c>
      <c r="E406" s="8" t="s">
        <v>8</v>
      </c>
      <c r="F406" s="8" t="s">
        <v>8</v>
      </c>
      <c r="G406" s="90">
        <f>294532-6407-910</f>
        <v>287215</v>
      </c>
      <c r="H406" s="91"/>
    </row>
    <row r="407" spans="1:10" ht="15.75" thickBot="1" x14ac:dyDescent="0.3">
      <c r="A407" s="3" t="s">
        <v>9</v>
      </c>
      <c r="B407" s="6">
        <f>G407*77%</f>
        <v>221155.55000000002</v>
      </c>
      <c r="C407" s="53" t="s">
        <v>8</v>
      </c>
      <c r="D407" s="84">
        <f>G407-B407</f>
        <v>66059.449999999983</v>
      </c>
      <c r="E407" s="8" t="s">
        <v>8</v>
      </c>
      <c r="F407" s="8" t="s">
        <v>8</v>
      </c>
      <c r="G407" s="90">
        <f>G406</f>
        <v>287215</v>
      </c>
      <c r="H407" s="91"/>
    </row>
    <row r="408" spans="1:10" ht="15.75" thickBot="1" x14ac:dyDescent="0.3">
      <c r="A408" s="2" t="s">
        <v>10</v>
      </c>
      <c r="B408" s="6">
        <v>0</v>
      </c>
      <c r="C408" s="53" t="s">
        <v>8</v>
      </c>
      <c r="D408" s="6">
        <v>0</v>
      </c>
      <c r="E408" s="8" t="s">
        <v>8</v>
      </c>
      <c r="F408" s="8" t="s">
        <v>8</v>
      </c>
      <c r="G408" s="90">
        <v>0</v>
      </c>
      <c r="H408" s="91"/>
    </row>
    <row r="409" spans="1:10" ht="60.75" thickBot="1" x14ac:dyDescent="0.3">
      <c r="A409" s="2" t="s">
        <v>11</v>
      </c>
      <c r="B409" s="6">
        <f>G409*77%</f>
        <v>108658.55</v>
      </c>
      <c r="C409" s="53" t="s">
        <v>8</v>
      </c>
      <c r="D409" s="84">
        <f>G409-B409</f>
        <v>32456.449999999997</v>
      </c>
      <c r="E409" s="8" t="s">
        <v>8</v>
      </c>
      <c r="F409" s="8" t="s">
        <v>8</v>
      </c>
      <c r="G409" s="90">
        <f>143597-2359-123</f>
        <v>141115</v>
      </c>
      <c r="H409" s="91"/>
    </row>
    <row r="410" spans="1:10" ht="30.75" thickBot="1" x14ac:dyDescent="0.3">
      <c r="A410" s="2" t="s">
        <v>12</v>
      </c>
      <c r="B410" s="6">
        <f>G410*77%</f>
        <v>7545.2300000000005</v>
      </c>
      <c r="C410" s="53" t="s">
        <v>8</v>
      </c>
      <c r="D410" s="84">
        <f>G410-B410</f>
        <v>2253.7699999999995</v>
      </c>
      <c r="E410" s="8" t="s">
        <v>8</v>
      </c>
      <c r="F410" s="8" t="s">
        <v>8</v>
      </c>
      <c r="G410" s="90">
        <f>2359+123+6407+910</f>
        <v>9799</v>
      </c>
      <c r="H410" s="91"/>
      <c r="I410" s="10">
        <f>G407+G409+G410</f>
        <v>438129</v>
      </c>
    </row>
    <row r="411" spans="1:10" ht="15.75" thickBot="1" x14ac:dyDescent="0.3">
      <c r="A411" s="2" t="s">
        <v>13</v>
      </c>
      <c r="B411" s="6">
        <f>G411*56%</f>
        <v>9190.7200000000012</v>
      </c>
      <c r="C411" s="53" t="s">
        <v>8</v>
      </c>
      <c r="D411" s="84">
        <f>G411-B411</f>
        <v>7221.2799999999988</v>
      </c>
      <c r="E411" s="8" t="s">
        <v>8</v>
      </c>
      <c r="F411" s="8" t="s">
        <v>8</v>
      </c>
      <c r="G411" s="90">
        <v>16412</v>
      </c>
      <c r="H411" s="91"/>
    </row>
    <row r="412" spans="1:10" ht="30.75" thickBot="1" x14ac:dyDescent="0.3">
      <c r="A412" s="2" t="s">
        <v>14</v>
      </c>
      <c r="B412" s="6">
        <f>G412*56%</f>
        <v>12012.000000000002</v>
      </c>
      <c r="C412" s="53" t="s">
        <v>8</v>
      </c>
      <c r="D412" s="84">
        <f>G412-B412</f>
        <v>9437.9999999999982</v>
      </c>
      <c r="E412" s="8" t="s">
        <v>8</v>
      </c>
      <c r="F412" s="8" t="s">
        <v>8</v>
      </c>
      <c r="G412" s="90">
        <f>37862-G411</f>
        <v>21450</v>
      </c>
      <c r="H412" s="91"/>
      <c r="J412" s="10">
        <f>30437-G412-G411</f>
        <v>-7425</v>
      </c>
    </row>
    <row r="413" spans="1:10" ht="45.75" thickBot="1" x14ac:dyDescent="0.3">
      <c r="A413" s="2" t="s">
        <v>15</v>
      </c>
      <c r="B413" s="8" t="s">
        <v>8</v>
      </c>
      <c r="C413" s="8" t="s">
        <v>8</v>
      </c>
      <c r="D413" s="6"/>
      <c r="E413" s="8" t="s">
        <v>8</v>
      </c>
      <c r="F413" s="8" t="s">
        <v>8</v>
      </c>
      <c r="G413" s="90"/>
      <c r="H413" s="91"/>
    </row>
    <row r="414" spans="1:10" ht="15.75" thickBot="1" x14ac:dyDescent="0.3">
      <c r="A414" s="2" t="s">
        <v>16</v>
      </c>
      <c r="B414" s="8" t="s">
        <v>8</v>
      </c>
      <c r="C414" s="8" t="s">
        <v>8</v>
      </c>
      <c r="D414" s="8" t="s">
        <v>8</v>
      </c>
      <c r="E414" s="6">
        <v>0</v>
      </c>
      <c r="F414" s="6"/>
      <c r="G414" s="90">
        <v>0</v>
      </c>
      <c r="H414" s="91"/>
    </row>
    <row r="415" spans="1:10" ht="15.75" thickBot="1" x14ac:dyDescent="0.3">
      <c r="A415" s="3" t="s">
        <v>17</v>
      </c>
      <c r="B415" s="8" t="s">
        <v>8</v>
      </c>
      <c r="C415" s="8" t="s">
        <v>8</v>
      </c>
      <c r="D415" s="8" t="s">
        <v>8</v>
      </c>
      <c r="E415" s="6"/>
      <c r="F415" s="6"/>
      <c r="G415" s="90">
        <v>0</v>
      </c>
      <c r="H415" s="91"/>
    </row>
    <row r="416" spans="1:10" ht="15.75" thickBot="1" x14ac:dyDescent="0.3">
      <c r="A416" s="3" t="s">
        <v>18</v>
      </c>
      <c r="B416" s="8" t="s">
        <v>8</v>
      </c>
      <c r="C416" s="8" t="s">
        <v>8</v>
      </c>
      <c r="D416" s="8" t="s">
        <v>8</v>
      </c>
      <c r="E416" s="6"/>
      <c r="F416" s="6"/>
      <c r="G416" s="90"/>
      <c r="H416" s="91"/>
    </row>
    <row r="417" spans="1:11" ht="45.75" thickBot="1" x14ac:dyDescent="0.3">
      <c r="A417" s="2" t="s">
        <v>19</v>
      </c>
      <c r="B417" s="8" t="s">
        <v>8</v>
      </c>
      <c r="C417" s="8" t="s">
        <v>8</v>
      </c>
      <c r="D417" s="8" t="s">
        <v>8</v>
      </c>
      <c r="E417" s="6"/>
      <c r="F417" s="6"/>
      <c r="G417" s="94"/>
      <c r="H417" s="95"/>
      <c r="J417" s="10">
        <f>G411+G412+G414+G419+G420+I410+G418</f>
        <v>673698</v>
      </c>
    </row>
    <row r="418" spans="1:11" ht="30.75" thickBot="1" x14ac:dyDescent="0.3">
      <c r="A418" s="2" t="s">
        <v>20</v>
      </c>
      <c r="B418" s="8" t="s">
        <v>8</v>
      </c>
      <c r="C418" s="8" t="s">
        <v>8</v>
      </c>
      <c r="D418" s="8" t="s">
        <v>8</v>
      </c>
      <c r="E418" s="6">
        <f>G418</f>
        <v>86946</v>
      </c>
      <c r="F418" s="6"/>
      <c r="G418" s="90">
        <v>86946</v>
      </c>
      <c r="H418" s="91"/>
    </row>
    <row r="419" spans="1:11" ht="30.75" thickBot="1" x14ac:dyDescent="0.3">
      <c r="A419" s="2" t="s">
        <v>21</v>
      </c>
      <c r="B419" s="6">
        <f>G419*56%</f>
        <v>37710.960000000006</v>
      </c>
      <c r="C419" s="8" t="s">
        <v>8</v>
      </c>
      <c r="D419" s="84">
        <f>G419-B419</f>
        <v>29630.039999999994</v>
      </c>
      <c r="E419" s="8" t="s">
        <v>8</v>
      </c>
      <c r="F419" s="8" t="s">
        <v>8</v>
      </c>
      <c r="G419" s="90">
        <v>67341</v>
      </c>
      <c r="H419" s="91"/>
      <c r="J419" s="10">
        <f>G418-19406</f>
        <v>67540</v>
      </c>
    </row>
    <row r="420" spans="1:11" ht="15.75" thickBot="1" x14ac:dyDescent="0.3">
      <c r="A420" s="3" t="s">
        <v>22</v>
      </c>
      <c r="B420" s="6">
        <f>G420*56%</f>
        <v>24315.200000000001</v>
      </c>
      <c r="C420" s="8" t="s">
        <v>8</v>
      </c>
      <c r="D420" s="84">
        <f>G420-B420</f>
        <v>19104.8</v>
      </c>
      <c r="E420" s="8" t="s">
        <v>8</v>
      </c>
      <c r="F420" s="8" t="s">
        <v>8</v>
      </c>
      <c r="G420" s="90">
        <f>17114+8513+16344+1449</f>
        <v>43420</v>
      </c>
      <c r="H420" s="91"/>
      <c r="J420" s="10">
        <f>549973-G423</f>
        <v>-123725</v>
      </c>
      <c r="K420" s="10">
        <f>J419+J423</f>
        <v>-138506</v>
      </c>
    </row>
    <row r="421" spans="1:11" ht="15.75" thickBot="1" x14ac:dyDescent="0.3">
      <c r="A421" s="3" t="s">
        <v>23</v>
      </c>
      <c r="B421" s="8" t="s">
        <v>8</v>
      </c>
      <c r="C421" s="8"/>
      <c r="D421" s="8" t="s">
        <v>8</v>
      </c>
      <c r="E421" s="8" t="s">
        <v>8</v>
      </c>
      <c r="F421" s="8" t="s">
        <v>8</v>
      </c>
      <c r="G421" s="94"/>
      <c r="H421" s="95"/>
    </row>
    <row r="422" spans="1:11" ht="15.75" thickBot="1" x14ac:dyDescent="0.3">
      <c r="A422" s="3" t="s">
        <v>24</v>
      </c>
      <c r="B422" s="6"/>
      <c r="C422" s="8" t="s">
        <v>8</v>
      </c>
      <c r="D422" s="6"/>
      <c r="E422" s="8" t="s">
        <v>8</v>
      </c>
      <c r="F422" s="8" t="s">
        <v>8</v>
      </c>
      <c r="G422" s="90"/>
      <c r="H422" s="91"/>
    </row>
    <row r="423" spans="1:11" ht="15.75" thickBot="1" x14ac:dyDescent="0.3">
      <c r="A423" s="4" t="s">
        <v>25</v>
      </c>
      <c r="B423" s="6">
        <f>SUM(B407:B422)</f>
        <v>420588.21000000008</v>
      </c>
      <c r="C423" s="6"/>
      <c r="D423" s="6">
        <f>SUM(D407:D422)</f>
        <v>166163.78999999998</v>
      </c>
      <c r="E423" s="6">
        <f>SUM(E407:E422)</f>
        <v>86946</v>
      </c>
      <c r="F423" s="6"/>
      <c r="G423" s="90">
        <f>SUM(G407:H422)</f>
        <v>673698</v>
      </c>
      <c r="H423" s="91"/>
      <c r="J423" s="10">
        <f>467652-G423</f>
        <v>-206046</v>
      </c>
    </row>
    <row r="424" spans="1:11" x14ac:dyDescent="0.25">
      <c r="A424" s="129" t="s">
        <v>176</v>
      </c>
      <c r="B424" s="130"/>
      <c r="C424" s="130"/>
      <c r="D424" s="130"/>
      <c r="E424" s="130"/>
      <c r="F424" s="130"/>
      <c r="G424" s="130"/>
      <c r="H424" s="130"/>
      <c r="J424" s="10"/>
    </row>
    <row r="425" spans="1:11" x14ac:dyDescent="0.25">
      <c r="A425" s="131"/>
      <c r="B425" s="131"/>
      <c r="C425" s="131"/>
      <c r="D425" s="131"/>
      <c r="E425" s="131"/>
      <c r="F425" s="131"/>
      <c r="G425" s="131"/>
      <c r="H425" s="131"/>
      <c r="J425" s="10"/>
    </row>
    <row r="426" spans="1:11" ht="76.150000000000006" customHeight="1" thickBot="1" x14ac:dyDescent="0.3">
      <c r="A426" s="132"/>
      <c r="B426" s="132"/>
      <c r="C426" s="132"/>
      <c r="D426" s="132"/>
      <c r="E426" s="132"/>
      <c r="F426" s="132"/>
      <c r="G426" s="132"/>
      <c r="H426" s="132"/>
      <c r="J426" s="10"/>
    </row>
    <row r="427" spans="1:11" x14ac:dyDescent="0.25">
      <c r="B427" s="10" t="s">
        <v>271</v>
      </c>
      <c r="C427" s="10">
        <v>395644</v>
      </c>
      <c r="K427" s="10" t="e">
        <f>#REF!-244898</f>
        <v>#REF!</v>
      </c>
    </row>
    <row r="428" spans="1:11" x14ac:dyDescent="0.25">
      <c r="C428" s="10">
        <f>C427-B423</f>
        <v>-24944.210000000079</v>
      </c>
    </row>
    <row r="437" spans="1:8" s="32" customFormat="1" x14ac:dyDescent="0.25">
      <c r="B437" s="33"/>
      <c r="C437" s="33"/>
      <c r="D437" s="33"/>
      <c r="E437" s="33"/>
      <c r="F437" s="33"/>
      <c r="G437" s="33"/>
      <c r="H437" s="33"/>
    </row>
    <row r="438" spans="1:8" s="32" customFormat="1" x14ac:dyDescent="0.25">
      <c r="B438" s="33"/>
      <c r="C438" s="33"/>
      <c r="D438" s="33"/>
      <c r="E438" s="33"/>
      <c r="F438" s="33"/>
      <c r="G438" s="33"/>
      <c r="H438" s="33"/>
    </row>
    <row r="440" spans="1:8" x14ac:dyDescent="0.25">
      <c r="A440" s="85"/>
      <c r="B440" s="86"/>
      <c r="C440" s="86"/>
      <c r="D440" s="86"/>
      <c r="E440" s="112" t="s">
        <v>29</v>
      </c>
      <c r="F440" s="112"/>
      <c r="G440" s="112"/>
      <c r="H440" s="112"/>
    </row>
    <row r="441" spans="1:8" x14ac:dyDescent="0.25">
      <c r="A441" s="113"/>
      <c r="B441" s="114"/>
      <c r="C441" s="114"/>
      <c r="D441" s="115"/>
      <c r="E441" s="115" t="s">
        <v>0</v>
      </c>
      <c r="F441" s="115"/>
      <c r="G441" s="115"/>
      <c r="H441" s="115"/>
    </row>
    <row r="442" spans="1:8" x14ac:dyDescent="0.25">
      <c r="A442" s="113"/>
      <c r="B442" s="114"/>
      <c r="C442" s="114"/>
      <c r="D442" s="115"/>
      <c r="E442" s="128" t="s">
        <v>31</v>
      </c>
      <c r="F442" s="128"/>
      <c r="G442" s="128"/>
      <c r="H442" s="128"/>
    </row>
    <row r="443" spans="1:8" ht="15.75" thickBot="1" x14ac:dyDescent="0.3">
      <c r="A443" s="98" t="s">
        <v>103</v>
      </c>
      <c r="B443" s="98"/>
      <c r="C443" s="98"/>
      <c r="D443" s="98"/>
      <c r="E443" s="98"/>
      <c r="F443" s="98"/>
      <c r="G443" s="98"/>
      <c r="H443" s="98"/>
    </row>
    <row r="444" spans="1:8" x14ac:dyDescent="0.25">
      <c r="A444" s="142" t="s">
        <v>2</v>
      </c>
      <c r="B444" s="103" t="s">
        <v>30</v>
      </c>
      <c r="C444" s="145"/>
      <c r="D444" s="145"/>
      <c r="E444" s="145"/>
      <c r="F444" s="146"/>
      <c r="G444" s="147" t="s">
        <v>3</v>
      </c>
      <c r="H444" s="148"/>
    </row>
    <row r="445" spans="1:8" ht="135.75" thickBot="1" x14ac:dyDescent="0.3">
      <c r="A445" s="124"/>
      <c r="B445" s="149" t="s">
        <v>30</v>
      </c>
      <c r="C445" s="150"/>
      <c r="D445" s="15" t="s">
        <v>32</v>
      </c>
      <c r="E445" s="149" t="s">
        <v>4</v>
      </c>
      <c r="F445" s="150"/>
      <c r="G445" s="151"/>
      <c r="H445" s="152"/>
    </row>
    <row r="446" spans="1:8" ht="165.75" thickBot="1" x14ac:dyDescent="0.3">
      <c r="A446" s="143"/>
      <c r="B446" s="14" t="s">
        <v>36</v>
      </c>
      <c r="C446" s="83" t="s">
        <v>5</v>
      </c>
      <c r="D446" s="15" t="s">
        <v>33</v>
      </c>
      <c r="E446" s="83" t="s">
        <v>34</v>
      </c>
      <c r="F446" s="89" t="s">
        <v>35</v>
      </c>
      <c r="G446" s="110"/>
      <c r="H446" s="111"/>
    </row>
    <row r="447" spans="1:8" ht="15.75" thickBot="1" x14ac:dyDescent="0.3">
      <c r="A447" s="82">
        <v>1</v>
      </c>
      <c r="B447" s="89">
        <v>2</v>
      </c>
      <c r="C447" s="11">
        <v>3</v>
      </c>
      <c r="D447" s="89">
        <v>4</v>
      </c>
      <c r="E447" s="11">
        <v>5</v>
      </c>
      <c r="F447" s="89">
        <v>6</v>
      </c>
      <c r="G447" s="96" t="s">
        <v>6</v>
      </c>
      <c r="H447" s="97"/>
    </row>
    <row r="448" spans="1:8" ht="60.75" thickBot="1" x14ac:dyDescent="0.3">
      <c r="A448" s="2" t="s">
        <v>7</v>
      </c>
      <c r="B448" s="6">
        <f>B449</f>
        <v>65030.35</v>
      </c>
      <c r="C448" s="12"/>
      <c r="D448" s="6">
        <f>D449</f>
        <v>19424.650000000001</v>
      </c>
      <c r="E448" s="8" t="s">
        <v>8</v>
      </c>
      <c r="F448" s="8" t="s">
        <v>8</v>
      </c>
      <c r="G448" s="90">
        <f>87470-1043-2039+67</f>
        <v>84455</v>
      </c>
      <c r="H448" s="91"/>
    </row>
    <row r="449" spans="1:9" ht="15.75" thickBot="1" x14ac:dyDescent="0.3">
      <c r="A449" s="3" t="s">
        <v>9</v>
      </c>
      <c r="B449" s="6">
        <f>G449*77%</f>
        <v>65030.35</v>
      </c>
      <c r="C449" s="12"/>
      <c r="D449" s="84">
        <f>G449-B449</f>
        <v>19424.650000000001</v>
      </c>
      <c r="E449" s="8" t="s">
        <v>8</v>
      </c>
      <c r="F449" s="8" t="s">
        <v>8</v>
      </c>
      <c r="G449" s="90">
        <f>G448</f>
        <v>84455</v>
      </c>
      <c r="H449" s="91"/>
    </row>
    <row r="450" spans="1:9" ht="15.75" thickBot="1" x14ac:dyDescent="0.3">
      <c r="A450" s="2" t="s">
        <v>10</v>
      </c>
      <c r="B450" s="6">
        <v>0</v>
      </c>
      <c r="C450" s="12"/>
      <c r="D450" s="6">
        <v>0</v>
      </c>
      <c r="E450" s="8" t="s">
        <v>8</v>
      </c>
      <c r="F450" s="8" t="s">
        <v>8</v>
      </c>
      <c r="G450" s="90">
        <v>0</v>
      </c>
      <c r="H450" s="91"/>
    </row>
    <row r="451" spans="1:9" ht="60.75" thickBot="1" x14ac:dyDescent="0.3">
      <c r="A451" s="2" t="s">
        <v>11</v>
      </c>
      <c r="B451" s="6">
        <f t="shared" ref="B451" si="4">G451*77%</f>
        <v>29831.34</v>
      </c>
      <c r="C451" s="12"/>
      <c r="D451" s="84">
        <f>G451-B451</f>
        <v>8910.66</v>
      </c>
      <c r="E451" s="8" t="s">
        <v>8</v>
      </c>
      <c r="F451" s="8" t="s">
        <v>8</v>
      </c>
      <c r="G451" s="90">
        <f>39473-731</f>
        <v>38742</v>
      </c>
      <c r="H451" s="91"/>
    </row>
    <row r="452" spans="1:9" ht="30.75" thickBot="1" x14ac:dyDescent="0.3">
      <c r="A452" s="2" t="s">
        <v>12</v>
      </c>
      <c r="B452" s="6">
        <f>G452*77%</f>
        <v>2936.01</v>
      </c>
      <c r="C452" s="12"/>
      <c r="D452" s="84">
        <f>G452-B452</f>
        <v>876.98999999999978</v>
      </c>
      <c r="E452" s="8" t="s">
        <v>8</v>
      </c>
      <c r="F452" s="8" t="s">
        <v>8</v>
      </c>
      <c r="G452" s="90">
        <f>3082+731</f>
        <v>3813</v>
      </c>
      <c r="H452" s="91"/>
      <c r="I452" s="10">
        <f>G449+G451+G452</f>
        <v>127010</v>
      </c>
    </row>
    <row r="453" spans="1:9" ht="15.75" thickBot="1" x14ac:dyDescent="0.3">
      <c r="A453" s="2" t="s">
        <v>13</v>
      </c>
      <c r="B453" s="6">
        <f>G453*56%</f>
        <v>5639.2000000000007</v>
      </c>
      <c r="C453" s="6"/>
      <c r="D453" s="84">
        <f>G453-B453</f>
        <v>4430.7999999999993</v>
      </c>
      <c r="E453" s="8" t="s">
        <v>8</v>
      </c>
      <c r="F453" s="8" t="s">
        <v>8</v>
      </c>
      <c r="G453" s="90">
        <v>10070</v>
      </c>
      <c r="H453" s="91"/>
    </row>
    <row r="454" spans="1:9" ht="30.75" thickBot="1" x14ac:dyDescent="0.3">
      <c r="A454" s="2" t="s">
        <v>14</v>
      </c>
      <c r="B454" s="6">
        <f>G454*56%</f>
        <v>3045.28</v>
      </c>
      <c r="C454" s="6"/>
      <c r="D454" s="84">
        <f>G454-B454</f>
        <v>2392.7199999999998</v>
      </c>
      <c r="E454" s="8" t="s">
        <v>8</v>
      </c>
      <c r="F454" s="8" t="s">
        <v>8</v>
      </c>
      <c r="G454" s="90">
        <f>3191+2247</f>
        <v>5438</v>
      </c>
      <c r="H454" s="91"/>
    </row>
    <row r="455" spans="1:9" ht="45.75" thickBot="1" x14ac:dyDescent="0.3">
      <c r="A455" s="2" t="s">
        <v>15</v>
      </c>
      <c r="B455" s="8" t="s">
        <v>8</v>
      </c>
      <c r="C455" s="8" t="s">
        <v>8</v>
      </c>
      <c r="D455" s="6"/>
      <c r="E455" s="8" t="s">
        <v>8</v>
      </c>
      <c r="F455" s="8" t="s">
        <v>8</v>
      </c>
      <c r="G455" s="90"/>
      <c r="H455" s="91"/>
    </row>
    <row r="456" spans="1:9" ht="15.75" thickBot="1" x14ac:dyDescent="0.3">
      <c r="A456" s="2" t="s">
        <v>16</v>
      </c>
      <c r="B456" s="8" t="s">
        <v>8</v>
      </c>
      <c r="C456" s="8" t="s">
        <v>8</v>
      </c>
      <c r="D456" s="12"/>
      <c r="E456" s="6"/>
      <c r="F456" s="6"/>
      <c r="G456" s="90"/>
      <c r="H456" s="91"/>
    </row>
    <row r="457" spans="1:9" ht="15.75" thickBot="1" x14ac:dyDescent="0.3">
      <c r="A457" s="3" t="s">
        <v>17</v>
      </c>
      <c r="B457" s="6">
        <f>G457*56%</f>
        <v>0</v>
      </c>
      <c r="C457" s="8"/>
      <c r="D457" s="6"/>
      <c r="E457" s="6">
        <f>G457-B457</f>
        <v>0</v>
      </c>
      <c r="F457" s="6"/>
      <c r="G457" s="90">
        <v>0</v>
      </c>
      <c r="H457" s="91"/>
    </row>
    <row r="458" spans="1:9" ht="15.75" thickBot="1" x14ac:dyDescent="0.3">
      <c r="A458" s="3" t="s">
        <v>18</v>
      </c>
      <c r="B458" s="6"/>
      <c r="C458" s="8"/>
      <c r="D458" s="8"/>
      <c r="E458" s="6"/>
      <c r="F458" s="6"/>
      <c r="G458" s="90"/>
      <c r="H458" s="91"/>
    </row>
    <row r="459" spans="1:9" ht="45.75" thickBot="1" x14ac:dyDescent="0.3">
      <c r="A459" s="2" t="s">
        <v>19</v>
      </c>
      <c r="B459" s="6"/>
      <c r="C459" s="8"/>
      <c r="D459" s="6"/>
      <c r="E459" s="6"/>
      <c r="F459" s="6"/>
      <c r="G459" s="94"/>
      <c r="H459" s="95"/>
    </row>
    <row r="460" spans="1:9" ht="30.75" thickBot="1" x14ac:dyDescent="0.3">
      <c r="A460" s="2" t="s">
        <v>20</v>
      </c>
      <c r="B460" s="6"/>
      <c r="C460" s="8"/>
      <c r="D460" s="6"/>
      <c r="E460" s="6">
        <v>0</v>
      </c>
      <c r="F460" s="6"/>
      <c r="G460" s="90">
        <v>18954</v>
      </c>
      <c r="H460" s="91"/>
    </row>
    <row r="461" spans="1:9" ht="30.75" thickBot="1" x14ac:dyDescent="0.3">
      <c r="A461" s="2" t="s">
        <v>21</v>
      </c>
      <c r="B461" s="6">
        <f>G461*56%</f>
        <v>12274.080000000002</v>
      </c>
      <c r="C461" s="6"/>
      <c r="D461" s="84">
        <f>G461-B461</f>
        <v>9643.9199999999983</v>
      </c>
      <c r="E461" s="8" t="s">
        <v>8</v>
      </c>
      <c r="F461" s="8" t="s">
        <v>8</v>
      </c>
      <c r="G461" s="90">
        <f>21269+649</f>
        <v>21918</v>
      </c>
      <c r="H461" s="91"/>
    </row>
    <row r="462" spans="1:9" ht="15.75" thickBot="1" x14ac:dyDescent="0.3">
      <c r="A462" s="3" t="s">
        <v>22</v>
      </c>
      <c r="B462" s="6">
        <f>G462*56%</f>
        <v>15130.640000000001</v>
      </c>
      <c r="C462" s="6"/>
      <c r="D462" s="84">
        <f>G462-B462</f>
        <v>11888.359999999999</v>
      </c>
      <c r="E462" s="8" t="s">
        <v>8</v>
      </c>
      <c r="F462" s="8" t="s">
        <v>8</v>
      </c>
      <c r="G462" s="90">
        <f>8084+10+3605+15320</f>
        <v>27019</v>
      </c>
      <c r="H462" s="91"/>
    </row>
    <row r="463" spans="1:9" ht="15.75" thickBot="1" x14ac:dyDescent="0.3">
      <c r="A463" s="3" t="s">
        <v>23</v>
      </c>
      <c r="B463" s="8" t="s">
        <v>8</v>
      </c>
      <c r="C463" s="12"/>
      <c r="D463" s="8" t="s">
        <v>8</v>
      </c>
      <c r="E463" s="8" t="s">
        <v>8</v>
      </c>
      <c r="F463" s="8" t="s">
        <v>8</v>
      </c>
      <c r="G463" s="94"/>
      <c r="H463" s="95"/>
    </row>
    <row r="464" spans="1:9" ht="15.75" thickBot="1" x14ac:dyDescent="0.3">
      <c r="A464" s="3" t="s">
        <v>24</v>
      </c>
      <c r="B464" s="6"/>
      <c r="C464" s="6"/>
      <c r="D464" s="6"/>
      <c r="E464" s="8" t="s">
        <v>8</v>
      </c>
      <c r="F464" s="8" t="s">
        <v>8</v>
      </c>
      <c r="G464" s="90"/>
      <c r="H464" s="91"/>
    </row>
    <row r="465" spans="1:11" ht="15.75" hidden="1" thickBot="1" x14ac:dyDescent="0.3">
      <c r="A465" s="4" t="s">
        <v>25</v>
      </c>
      <c r="B465" s="6">
        <f>SUM(B449:B464)</f>
        <v>133886.9</v>
      </c>
      <c r="C465" s="6"/>
      <c r="D465" s="6">
        <f>SUM(D449:D464)</f>
        <v>57568.100000000006</v>
      </c>
      <c r="E465" s="6">
        <f>SUM(E449:E464)</f>
        <v>0</v>
      </c>
      <c r="F465" s="6"/>
      <c r="G465" s="90">
        <f>SUM(G449:H464)</f>
        <v>210409</v>
      </c>
      <c r="H465" s="91"/>
    </row>
    <row r="466" spans="1:11" hidden="1" x14ac:dyDescent="0.25">
      <c r="A466" s="92" t="s">
        <v>26</v>
      </c>
      <c r="B466" s="92"/>
      <c r="C466" s="92"/>
      <c r="D466" s="92"/>
      <c r="E466" s="92"/>
      <c r="F466" s="92"/>
      <c r="G466" s="92"/>
      <c r="H466" s="92"/>
    </row>
    <row r="467" spans="1:11" hidden="1" x14ac:dyDescent="0.25">
      <c r="A467" s="93" t="s">
        <v>27</v>
      </c>
      <c r="B467" s="93"/>
      <c r="C467" s="93"/>
      <c r="D467" s="93"/>
      <c r="E467" s="93"/>
      <c r="F467" s="93"/>
      <c r="G467" s="93"/>
      <c r="H467" s="93"/>
    </row>
    <row r="468" spans="1:11" hidden="1" x14ac:dyDescent="0.25">
      <c r="A468" s="93" t="s">
        <v>28</v>
      </c>
      <c r="B468" s="93"/>
      <c r="C468" s="93"/>
      <c r="D468" s="93"/>
      <c r="E468" s="93"/>
      <c r="F468" s="93"/>
      <c r="G468" s="93"/>
      <c r="H468" s="93"/>
      <c r="K468" s="10" t="e">
        <f>#REF!-#REF!</f>
        <v>#REF!</v>
      </c>
    </row>
    <row r="469" spans="1:11" hidden="1" x14ac:dyDescent="0.25">
      <c r="B469" s="10" t="s">
        <v>106</v>
      </c>
      <c r="C469" s="10">
        <v>124022</v>
      </c>
      <c r="K469" s="10" t="e">
        <f>K468-244898</f>
        <v>#REF!</v>
      </c>
    </row>
    <row r="470" spans="1:11" hidden="1" x14ac:dyDescent="0.25">
      <c r="C470" s="10">
        <f>C469-B465</f>
        <v>-9864.8999999999942</v>
      </c>
    </row>
    <row r="471" spans="1:11" hidden="1" x14ac:dyDescent="0.25"/>
    <row r="472" spans="1:11" hidden="1" x14ac:dyDescent="0.25"/>
    <row r="473" spans="1:11" hidden="1" x14ac:dyDescent="0.25"/>
    <row r="474" spans="1:11" hidden="1" x14ac:dyDescent="0.25">
      <c r="A474" s="85"/>
      <c r="B474" s="86"/>
      <c r="C474" s="86"/>
      <c r="D474" s="86"/>
      <c r="E474" s="112" t="s">
        <v>29</v>
      </c>
      <c r="F474" s="112"/>
      <c r="G474" s="112"/>
      <c r="H474" s="112"/>
    </row>
    <row r="475" spans="1:11" x14ac:dyDescent="0.25">
      <c r="A475" s="113"/>
      <c r="B475" s="114"/>
      <c r="C475" s="114"/>
      <c r="D475" s="115"/>
      <c r="E475" s="115" t="s">
        <v>0</v>
      </c>
      <c r="F475" s="115"/>
      <c r="G475" s="115"/>
      <c r="H475" s="115"/>
    </row>
    <row r="476" spans="1:11" x14ac:dyDescent="0.25">
      <c r="A476" s="113"/>
      <c r="B476" s="114"/>
      <c r="C476" s="114"/>
      <c r="D476" s="115"/>
      <c r="E476" s="128" t="s">
        <v>31</v>
      </c>
      <c r="F476" s="115"/>
      <c r="G476" s="115"/>
      <c r="H476" s="115"/>
    </row>
    <row r="477" spans="1:11" ht="15.75" thickBot="1" x14ac:dyDescent="0.3">
      <c r="A477" s="98" t="s">
        <v>104</v>
      </c>
      <c r="B477" s="98"/>
      <c r="C477" s="98"/>
      <c r="D477" s="98"/>
      <c r="E477" s="98"/>
      <c r="F477" s="98"/>
      <c r="G477" s="98"/>
      <c r="H477" s="98"/>
    </row>
    <row r="478" spans="1:11" x14ac:dyDescent="0.25">
      <c r="A478" s="100" t="s">
        <v>2</v>
      </c>
      <c r="B478" s="103" t="s">
        <v>30</v>
      </c>
      <c r="C478" s="104"/>
      <c r="D478" s="104"/>
      <c r="E478" s="104"/>
      <c r="F478" s="104"/>
      <c r="G478" s="105" t="s">
        <v>3</v>
      </c>
      <c r="H478" s="106"/>
    </row>
    <row r="479" spans="1:11" ht="135.75" thickBot="1" x14ac:dyDescent="0.3">
      <c r="A479" s="124"/>
      <c r="B479" s="105" t="s">
        <v>30</v>
      </c>
      <c r="C479" s="105"/>
      <c r="D479" s="15" t="s">
        <v>32</v>
      </c>
      <c r="E479" s="105" t="s">
        <v>4</v>
      </c>
      <c r="F479" s="105"/>
      <c r="G479" s="125"/>
      <c r="H479" s="109"/>
    </row>
    <row r="480" spans="1:11" ht="165.75" thickBot="1" x14ac:dyDescent="0.3">
      <c r="A480" s="102"/>
      <c r="B480" s="14" t="s">
        <v>36</v>
      </c>
      <c r="C480" s="83" t="s">
        <v>5</v>
      </c>
      <c r="D480" s="15" t="s">
        <v>33</v>
      </c>
      <c r="E480" s="83" t="s">
        <v>34</v>
      </c>
      <c r="F480" s="89" t="s">
        <v>35</v>
      </c>
      <c r="G480" s="110"/>
      <c r="H480" s="111"/>
    </row>
    <row r="481" spans="1:9" ht="15.75" thickBot="1" x14ac:dyDescent="0.3">
      <c r="A481" s="82">
        <v>1</v>
      </c>
      <c r="B481" s="89">
        <v>2</v>
      </c>
      <c r="C481" s="11">
        <v>3</v>
      </c>
      <c r="D481" s="89">
        <v>4</v>
      </c>
      <c r="E481" s="11">
        <v>5</v>
      </c>
      <c r="F481" s="89">
        <v>6</v>
      </c>
      <c r="G481" s="96" t="s">
        <v>6</v>
      </c>
      <c r="H481" s="97"/>
    </row>
    <row r="482" spans="1:9" ht="60.75" thickBot="1" x14ac:dyDescent="0.3">
      <c r="A482" s="2" t="s">
        <v>7</v>
      </c>
      <c r="B482" s="6">
        <f>B483</f>
        <v>72182.11</v>
      </c>
      <c r="C482" s="12"/>
      <c r="D482" s="6">
        <f>D483</f>
        <v>21560.89</v>
      </c>
      <c r="E482" s="8" t="s">
        <v>8</v>
      </c>
      <c r="F482" s="8" t="s">
        <v>8</v>
      </c>
      <c r="G482" s="90">
        <f>96927-1176-2074+66</f>
        <v>93743</v>
      </c>
      <c r="H482" s="91"/>
    </row>
    <row r="483" spans="1:9" ht="15.75" thickBot="1" x14ac:dyDescent="0.3">
      <c r="A483" s="3" t="s">
        <v>9</v>
      </c>
      <c r="B483" s="6">
        <f>G483*77%</f>
        <v>72182.11</v>
      </c>
      <c r="C483" s="12"/>
      <c r="D483" s="84">
        <f>G483-B483</f>
        <v>21560.89</v>
      </c>
      <c r="E483" s="8" t="s">
        <v>8</v>
      </c>
      <c r="F483" s="8" t="s">
        <v>8</v>
      </c>
      <c r="G483" s="90">
        <f>G482</f>
        <v>93743</v>
      </c>
      <c r="H483" s="91"/>
    </row>
    <row r="484" spans="1:9" ht="15.75" thickBot="1" x14ac:dyDescent="0.3">
      <c r="A484" s="2" t="s">
        <v>10</v>
      </c>
      <c r="B484" s="6">
        <v>0</v>
      </c>
      <c r="C484" s="12"/>
      <c r="D484" s="6">
        <v>0</v>
      </c>
      <c r="E484" s="8" t="s">
        <v>8</v>
      </c>
      <c r="F484" s="8" t="s">
        <v>8</v>
      </c>
      <c r="G484" s="90">
        <v>0</v>
      </c>
      <c r="H484" s="91"/>
    </row>
    <row r="485" spans="1:9" ht="60.75" thickBot="1" x14ac:dyDescent="0.3">
      <c r="A485" s="2" t="s">
        <v>11</v>
      </c>
      <c r="B485" s="6">
        <f t="shared" ref="B485" si="5">G485*77%</f>
        <v>34720.07</v>
      </c>
      <c r="C485" s="12"/>
      <c r="D485" s="84">
        <f>G485-B485</f>
        <v>10370.93</v>
      </c>
      <c r="E485" s="8" t="s">
        <v>8</v>
      </c>
      <c r="F485" s="8" t="s">
        <v>8</v>
      </c>
      <c r="G485" s="90">
        <f>45834-743</f>
        <v>45091</v>
      </c>
      <c r="H485" s="91"/>
    </row>
    <row r="486" spans="1:9" ht="30.75" thickBot="1" x14ac:dyDescent="0.3">
      <c r="A486" s="2" t="s">
        <v>12</v>
      </c>
      <c r="B486" s="6">
        <f>G486*77%</f>
        <v>3075.38</v>
      </c>
      <c r="C486" s="12"/>
      <c r="D486" s="84">
        <f>G486-B486</f>
        <v>918.61999999999989</v>
      </c>
      <c r="E486" s="8" t="s">
        <v>8</v>
      </c>
      <c r="F486" s="8" t="s">
        <v>8</v>
      </c>
      <c r="G486" s="90">
        <f>1176+2075+743</f>
        <v>3994</v>
      </c>
      <c r="H486" s="91"/>
      <c r="I486" s="10">
        <f>G483+G485+G486</f>
        <v>142828</v>
      </c>
    </row>
    <row r="487" spans="1:9" ht="15.75" thickBot="1" x14ac:dyDescent="0.3">
      <c r="A487" s="2" t="s">
        <v>13</v>
      </c>
      <c r="B487" s="6">
        <f>G487*56%</f>
        <v>7473.7600000000011</v>
      </c>
      <c r="C487" s="6"/>
      <c r="D487" s="84">
        <f>G487-B487</f>
        <v>5872.2399999999989</v>
      </c>
      <c r="E487" s="8" t="s">
        <v>8</v>
      </c>
      <c r="F487" s="8" t="s">
        <v>8</v>
      </c>
      <c r="G487" s="90">
        <v>13346</v>
      </c>
      <c r="H487" s="91"/>
    </row>
    <row r="488" spans="1:9" ht="30.75" thickBot="1" x14ac:dyDescent="0.3">
      <c r="A488" s="2" t="s">
        <v>14</v>
      </c>
      <c r="B488" s="6">
        <f>G488*56%</f>
        <v>3152.8</v>
      </c>
      <c r="C488" s="6"/>
      <c r="D488" s="84">
        <f>G488-B488</f>
        <v>2477.1999999999998</v>
      </c>
      <c r="E488" s="8" t="s">
        <v>8</v>
      </c>
      <c r="F488" s="8" t="s">
        <v>8</v>
      </c>
      <c r="G488" s="90">
        <f>3383+2247</f>
        <v>5630</v>
      </c>
      <c r="H488" s="91"/>
    </row>
    <row r="489" spans="1:9" ht="45.75" thickBot="1" x14ac:dyDescent="0.3">
      <c r="A489" s="2" t="s">
        <v>15</v>
      </c>
      <c r="B489" s="8" t="s">
        <v>8</v>
      </c>
      <c r="C489" s="8" t="s">
        <v>8</v>
      </c>
      <c r="D489" s="6"/>
      <c r="E489" s="8" t="s">
        <v>8</v>
      </c>
      <c r="F489" s="8" t="s">
        <v>8</v>
      </c>
      <c r="G489" s="90"/>
      <c r="H489" s="91"/>
    </row>
    <row r="490" spans="1:9" ht="15.75" thickBot="1" x14ac:dyDescent="0.3">
      <c r="A490" s="2" t="s">
        <v>16</v>
      </c>
      <c r="B490" s="8" t="s">
        <v>8</v>
      </c>
      <c r="C490" s="8" t="s">
        <v>8</v>
      </c>
      <c r="D490" s="12"/>
      <c r="E490" s="6"/>
      <c r="F490" s="6"/>
      <c r="G490" s="90"/>
      <c r="H490" s="91"/>
    </row>
    <row r="491" spans="1:9" ht="15.75" thickBot="1" x14ac:dyDescent="0.3">
      <c r="A491" s="3" t="s">
        <v>17</v>
      </c>
      <c r="B491" s="6">
        <f>G491*56%</f>
        <v>0</v>
      </c>
      <c r="C491" s="8"/>
      <c r="D491" s="6"/>
      <c r="E491" s="6">
        <f>G491-B491</f>
        <v>0</v>
      </c>
      <c r="F491" s="6"/>
      <c r="G491" s="90">
        <v>0</v>
      </c>
      <c r="H491" s="91"/>
    </row>
    <row r="492" spans="1:9" ht="15.75" thickBot="1" x14ac:dyDescent="0.3">
      <c r="A492" s="3" t="s">
        <v>18</v>
      </c>
      <c r="B492" s="6"/>
      <c r="C492" s="8"/>
      <c r="D492" s="8"/>
      <c r="E492" s="6"/>
      <c r="F492" s="6"/>
      <c r="G492" s="90"/>
      <c r="H492" s="91"/>
    </row>
    <row r="493" spans="1:9" ht="45.75" thickBot="1" x14ac:dyDescent="0.3">
      <c r="A493" s="2" t="s">
        <v>19</v>
      </c>
      <c r="B493" s="6"/>
      <c r="C493" s="8"/>
      <c r="D493" s="6"/>
      <c r="E493" s="6"/>
      <c r="F493" s="6"/>
      <c r="G493" s="94"/>
      <c r="H493" s="95"/>
    </row>
    <row r="494" spans="1:9" ht="30.75" thickBot="1" x14ac:dyDescent="0.3">
      <c r="A494" s="2" t="s">
        <v>20</v>
      </c>
      <c r="B494" s="6"/>
      <c r="C494" s="8"/>
      <c r="D494" s="6"/>
      <c r="E494" s="6">
        <v>0</v>
      </c>
      <c r="F494" s="6"/>
      <c r="G494" s="90">
        <v>22128</v>
      </c>
      <c r="H494" s="91"/>
    </row>
    <row r="495" spans="1:9" ht="30.75" thickBot="1" x14ac:dyDescent="0.3">
      <c r="A495" s="2" t="s">
        <v>21</v>
      </c>
      <c r="B495" s="6">
        <f>G495*56%</f>
        <v>12863.760000000002</v>
      </c>
      <c r="C495" s="6"/>
      <c r="D495" s="84">
        <f>G495-B495</f>
        <v>10107.239999999998</v>
      </c>
      <c r="E495" s="8" t="s">
        <v>8</v>
      </c>
      <c r="F495" s="8" t="s">
        <v>8</v>
      </c>
      <c r="G495" s="90">
        <f>22322+80+569</f>
        <v>22971</v>
      </c>
      <c r="H495" s="91"/>
    </row>
    <row r="496" spans="1:9" ht="15.75" thickBot="1" x14ac:dyDescent="0.3">
      <c r="A496" s="3" t="s">
        <v>22</v>
      </c>
      <c r="B496" s="6">
        <f>G496*56%</f>
        <v>16068.640000000001</v>
      </c>
      <c r="C496" s="6"/>
      <c r="D496" s="84">
        <f>G496-B496</f>
        <v>12625.359999999999</v>
      </c>
      <c r="E496" s="8" t="s">
        <v>8</v>
      </c>
      <c r="F496" s="8" t="s">
        <v>8</v>
      </c>
      <c r="G496" s="90">
        <f>9735+10+3629+15320</f>
        <v>28694</v>
      </c>
      <c r="H496" s="91"/>
    </row>
    <row r="497" spans="1:11" ht="15.75" hidden="1" thickBot="1" x14ac:dyDescent="0.3">
      <c r="A497" s="3" t="s">
        <v>23</v>
      </c>
      <c r="B497" s="8" t="s">
        <v>8</v>
      </c>
      <c r="C497" s="12"/>
      <c r="D497" s="8" t="s">
        <v>8</v>
      </c>
      <c r="E497" s="8" t="s">
        <v>8</v>
      </c>
      <c r="F497" s="8" t="s">
        <v>8</v>
      </c>
      <c r="G497" s="94"/>
      <c r="H497" s="95"/>
    </row>
    <row r="498" spans="1:11" ht="15.75" hidden="1" thickBot="1" x14ac:dyDescent="0.3">
      <c r="A498" s="3" t="s">
        <v>24</v>
      </c>
      <c r="B498" s="6"/>
      <c r="C498" s="6"/>
      <c r="D498" s="6"/>
      <c r="E498" s="8" t="s">
        <v>8</v>
      </c>
      <c r="F498" s="8" t="s">
        <v>8</v>
      </c>
      <c r="G498" s="90"/>
      <c r="H498" s="91"/>
    </row>
    <row r="499" spans="1:11" ht="15.75" hidden="1" thickBot="1" x14ac:dyDescent="0.3">
      <c r="A499" s="4" t="s">
        <v>25</v>
      </c>
      <c r="B499" s="6">
        <f>SUM(B483:B498)</f>
        <v>149536.52000000002</v>
      </c>
      <c r="C499" s="6"/>
      <c r="D499" s="6">
        <f>SUM(D483:D498)</f>
        <v>63932.479999999996</v>
      </c>
      <c r="E499" s="6">
        <f>SUM(E483:E498)</f>
        <v>0</v>
      </c>
      <c r="F499" s="6"/>
      <c r="G499" s="90">
        <f>SUM(G483:H498)</f>
        <v>235597</v>
      </c>
      <c r="H499" s="91"/>
    </row>
    <row r="500" spans="1:11" hidden="1" x14ac:dyDescent="0.25">
      <c r="A500" s="92" t="s">
        <v>26</v>
      </c>
      <c r="B500" s="92"/>
      <c r="C500" s="92"/>
      <c r="D500" s="92"/>
      <c r="E500" s="92"/>
      <c r="F500" s="92"/>
      <c r="G500" s="92"/>
      <c r="H500" s="92"/>
    </row>
    <row r="501" spans="1:11" hidden="1" x14ac:dyDescent="0.25">
      <c r="A501" s="93" t="s">
        <v>27</v>
      </c>
      <c r="B501" s="93"/>
      <c r="C501" s="93"/>
      <c r="D501" s="93"/>
      <c r="E501" s="93"/>
      <c r="F501" s="93"/>
      <c r="G501" s="93"/>
      <c r="H501" s="93"/>
    </row>
    <row r="502" spans="1:11" hidden="1" x14ac:dyDescent="0.25">
      <c r="A502" s="93" t="s">
        <v>28</v>
      </c>
      <c r="B502" s="93"/>
      <c r="C502" s="93"/>
      <c r="D502" s="93"/>
      <c r="E502" s="93"/>
      <c r="F502" s="93"/>
      <c r="G502" s="93"/>
      <c r="H502" s="93"/>
      <c r="K502" s="10" t="e">
        <f>#REF!-#REF!</f>
        <v>#REF!</v>
      </c>
    </row>
    <row r="503" spans="1:11" hidden="1" x14ac:dyDescent="0.25">
      <c r="B503" s="10" t="s">
        <v>105</v>
      </c>
      <c r="C503" s="10">
        <v>140012</v>
      </c>
      <c r="K503" s="10" t="e">
        <f>K502-244898</f>
        <v>#REF!</v>
      </c>
    </row>
    <row r="504" spans="1:11" hidden="1" x14ac:dyDescent="0.25">
      <c r="C504" s="10">
        <f>C503-B499</f>
        <v>-9524.5200000000186</v>
      </c>
    </row>
    <row r="505" spans="1:11" hidden="1" x14ac:dyDescent="0.25"/>
    <row r="506" spans="1:11" hidden="1" x14ac:dyDescent="0.25"/>
    <row r="508" spans="1:11" x14ac:dyDescent="0.25">
      <c r="A508" s="85"/>
      <c r="B508" s="86"/>
      <c r="C508" s="86"/>
      <c r="D508" s="86"/>
      <c r="E508" s="112" t="s">
        <v>29</v>
      </c>
      <c r="F508" s="112"/>
      <c r="G508" s="112"/>
      <c r="H508" s="112"/>
    </row>
    <row r="509" spans="1:11" x14ac:dyDescent="0.25">
      <c r="A509" s="113"/>
      <c r="B509" s="114"/>
      <c r="C509" s="114"/>
      <c r="D509" s="115"/>
      <c r="E509" s="115" t="s">
        <v>0</v>
      </c>
      <c r="F509" s="115"/>
      <c r="G509" s="115"/>
      <c r="H509" s="115"/>
    </row>
    <row r="510" spans="1:11" x14ac:dyDescent="0.25">
      <c r="A510" s="113"/>
      <c r="B510" s="114"/>
      <c r="C510" s="114"/>
      <c r="D510" s="115"/>
      <c r="E510" s="128" t="s">
        <v>31</v>
      </c>
      <c r="F510" s="115"/>
      <c r="G510" s="115"/>
      <c r="H510" s="115"/>
    </row>
    <row r="511" spans="1:11" ht="15.75" thickBot="1" x14ac:dyDescent="0.3">
      <c r="A511" s="98" t="s">
        <v>107</v>
      </c>
      <c r="B511" s="98"/>
      <c r="C511" s="98"/>
      <c r="D511" s="98"/>
      <c r="E511" s="98"/>
      <c r="F511" s="98"/>
      <c r="G511" s="98"/>
      <c r="H511" s="98"/>
    </row>
    <row r="512" spans="1:11" x14ac:dyDescent="0.25">
      <c r="A512" s="100" t="s">
        <v>2</v>
      </c>
      <c r="B512" s="103" t="s">
        <v>30</v>
      </c>
      <c r="C512" s="104"/>
      <c r="D512" s="104"/>
      <c r="E512" s="104"/>
      <c r="F512" s="104"/>
      <c r="G512" s="105" t="s">
        <v>3</v>
      </c>
      <c r="H512" s="106"/>
    </row>
    <row r="513" spans="1:9" ht="135.75" thickBot="1" x14ac:dyDescent="0.3">
      <c r="A513" s="124"/>
      <c r="B513" s="105" t="s">
        <v>30</v>
      </c>
      <c r="C513" s="105"/>
      <c r="D513" s="15" t="s">
        <v>32</v>
      </c>
      <c r="E513" s="105" t="s">
        <v>4</v>
      </c>
      <c r="F513" s="105"/>
      <c r="G513" s="125"/>
      <c r="H513" s="109"/>
    </row>
    <row r="514" spans="1:9" ht="165.75" thickBot="1" x14ac:dyDescent="0.3">
      <c r="A514" s="102"/>
      <c r="B514" s="14" t="s">
        <v>36</v>
      </c>
      <c r="C514" s="83" t="s">
        <v>5</v>
      </c>
      <c r="D514" s="15" t="s">
        <v>33</v>
      </c>
      <c r="E514" s="83" t="s">
        <v>34</v>
      </c>
      <c r="F514" s="89" t="s">
        <v>35</v>
      </c>
      <c r="G514" s="110"/>
      <c r="H514" s="111"/>
    </row>
    <row r="515" spans="1:9" ht="15.75" thickBot="1" x14ac:dyDescent="0.3">
      <c r="A515" s="82">
        <v>1</v>
      </c>
      <c r="B515" s="89">
        <v>2</v>
      </c>
      <c r="C515" s="11">
        <v>3</v>
      </c>
      <c r="D515" s="89">
        <v>4</v>
      </c>
      <c r="E515" s="11">
        <v>5</v>
      </c>
      <c r="F515" s="89">
        <v>6</v>
      </c>
      <c r="G515" s="96" t="s">
        <v>6</v>
      </c>
      <c r="H515" s="97"/>
    </row>
    <row r="516" spans="1:9" ht="60.75" thickBot="1" x14ac:dyDescent="0.3">
      <c r="A516" s="2" t="s">
        <v>7</v>
      </c>
      <c r="B516" s="6">
        <f>B517</f>
        <v>79884.42</v>
      </c>
      <c r="C516" s="12"/>
      <c r="D516" s="6">
        <f>D517</f>
        <v>23861.58</v>
      </c>
      <c r="E516" s="8" t="s">
        <v>8</v>
      </c>
      <c r="F516" s="8" t="s">
        <v>8</v>
      </c>
      <c r="G516" s="90">
        <f>106933-1179-2075+67</f>
        <v>103746</v>
      </c>
      <c r="H516" s="91"/>
    </row>
    <row r="517" spans="1:9" ht="15.75" thickBot="1" x14ac:dyDescent="0.3">
      <c r="A517" s="3" t="s">
        <v>9</v>
      </c>
      <c r="B517" s="6">
        <f>G517*77%</f>
        <v>79884.42</v>
      </c>
      <c r="C517" s="12"/>
      <c r="D517" s="84">
        <f>G517-B517</f>
        <v>23861.58</v>
      </c>
      <c r="E517" s="8" t="s">
        <v>8</v>
      </c>
      <c r="F517" s="8" t="s">
        <v>8</v>
      </c>
      <c r="G517" s="90">
        <f>G516</f>
        <v>103746</v>
      </c>
      <c r="H517" s="91"/>
    </row>
    <row r="518" spans="1:9" ht="15.75" thickBot="1" x14ac:dyDescent="0.3">
      <c r="A518" s="2" t="s">
        <v>10</v>
      </c>
      <c r="B518" s="6">
        <v>0</v>
      </c>
      <c r="C518" s="12"/>
      <c r="D518" s="6">
        <v>0</v>
      </c>
      <c r="E518" s="8" t="s">
        <v>8</v>
      </c>
      <c r="F518" s="8" t="s">
        <v>8</v>
      </c>
      <c r="G518" s="90">
        <v>0</v>
      </c>
      <c r="H518" s="91"/>
    </row>
    <row r="519" spans="1:9" ht="60.75" thickBot="1" x14ac:dyDescent="0.3">
      <c r="A519" s="2" t="s">
        <v>11</v>
      </c>
      <c r="B519" s="6">
        <f t="shared" ref="B519" si="6">G519*77%</f>
        <v>40209.4</v>
      </c>
      <c r="C519" s="12"/>
      <c r="D519" s="84">
        <f>G519-B519</f>
        <v>12010.599999999999</v>
      </c>
      <c r="E519" s="8" t="s">
        <v>8</v>
      </c>
      <c r="F519" s="8" t="s">
        <v>8</v>
      </c>
      <c r="G519" s="90">
        <f>52993-773</f>
        <v>52220</v>
      </c>
      <c r="H519" s="91"/>
    </row>
    <row r="520" spans="1:9" ht="30.75" thickBot="1" x14ac:dyDescent="0.3">
      <c r="A520" s="2" t="s">
        <v>12</v>
      </c>
      <c r="B520" s="6">
        <f>G520*77%</f>
        <v>3100.79</v>
      </c>
      <c r="C520" s="12"/>
      <c r="D520" s="84">
        <f>G520-B520</f>
        <v>926.21</v>
      </c>
      <c r="E520" s="8" t="s">
        <v>8</v>
      </c>
      <c r="F520" s="8" t="s">
        <v>8</v>
      </c>
      <c r="G520" s="90">
        <f>1179+2075+773</f>
        <v>4027</v>
      </c>
      <c r="H520" s="91"/>
      <c r="I520" s="10">
        <f>G517+G519+G520</f>
        <v>159993</v>
      </c>
    </row>
    <row r="521" spans="1:9" ht="15.75" thickBot="1" x14ac:dyDescent="0.3">
      <c r="A521" s="2" t="s">
        <v>13</v>
      </c>
      <c r="B521" s="6">
        <f>G521*56%</f>
        <v>8611.1200000000008</v>
      </c>
      <c r="C521" s="6"/>
      <c r="D521" s="84">
        <f>G521-B521</f>
        <v>6765.8799999999992</v>
      </c>
      <c r="E521" s="8" t="s">
        <v>8</v>
      </c>
      <c r="F521" s="8" t="s">
        <v>8</v>
      </c>
      <c r="G521" s="90">
        <v>15377</v>
      </c>
      <c r="H521" s="91"/>
    </row>
    <row r="522" spans="1:9" ht="30.75" thickBot="1" x14ac:dyDescent="0.3">
      <c r="A522" s="2" t="s">
        <v>14</v>
      </c>
      <c r="B522" s="6">
        <f>G522*56%</f>
        <v>3197.6000000000004</v>
      </c>
      <c r="C522" s="6"/>
      <c r="D522" s="84">
        <f>G522-B522</f>
        <v>2512.3999999999996</v>
      </c>
      <c r="E522" s="8" t="s">
        <v>8</v>
      </c>
      <c r="F522" s="8" t="s">
        <v>8</v>
      </c>
      <c r="G522" s="90">
        <f>3383+2327</f>
        <v>5710</v>
      </c>
      <c r="H522" s="91"/>
    </row>
    <row r="523" spans="1:9" ht="45.75" thickBot="1" x14ac:dyDescent="0.3">
      <c r="A523" s="2" t="s">
        <v>15</v>
      </c>
      <c r="B523" s="8" t="s">
        <v>8</v>
      </c>
      <c r="C523" s="8" t="s">
        <v>8</v>
      </c>
      <c r="D523" s="6"/>
      <c r="E523" s="8" t="s">
        <v>8</v>
      </c>
      <c r="F523" s="8" t="s">
        <v>8</v>
      </c>
      <c r="G523" s="90"/>
      <c r="H523" s="91"/>
    </row>
    <row r="524" spans="1:9" ht="15.75" thickBot="1" x14ac:dyDescent="0.3">
      <c r="A524" s="2" t="s">
        <v>16</v>
      </c>
      <c r="B524" s="8" t="s">
        <v>8</v>
      </c>
      <c r="C524" s="8" t="s">
        <v>8</v>
      </c>
      <c r="D524" s="12"/>
      <c r="E524" s="6"/>
      <c r="F524" s="6"/>
      <c r="G524" s="90"/>
      <c r="H524" s="91"/>
    </row>
    <row r="525" spans="1:9" ht="15.75" thickBot="1" x14ac:dyDescent="0.3">
      <c r="A525" s="3" t="s">
        <v>17</v>
      </c>
      <c r="B525" s="6">
        <f>G525*56%</f>
        <v>0</v>
      </c>
      <c r="C525" s="8"/>
      <c r="D525" s="6"/>
      <c r="E525" s="6">
        <f>G525-B525</f>
        <v>0</v>
      </c>
      <c r="F525" s="6"/>
      <c r="G525" s="90">
        <v>0</v>
      </c>
      <c r="H525" s="91"/>
    </row>
    <row r="526" spans="1:9" ht="15.75" thickBot="1" x14ac:dyDescent="0.3">
      <c r="A526" s="3" t="s">
        <v>18</v>
      </c>
      <c r="B526" s="6"/>
      <c r="C526" s="8"/>
      <c r="D526" s="8"/>
      <c r="E526" s="6"/>
      <c r="F526" s="6"/>
      <c r="G526" s="90"/>
      <c r="H526" s="91"/>
    </row>
    <row r="527" spans="1:9" ht="45.75" thickBot="1" x14ac:dyDescent="0.3">
      <c r="A527" s="2" t="s">
        <v>19</v>
      </c>
      <c r="B527" s="6"/>
      <c r="C527" s="8"/>
      <c r="D527" s="6"/>
      <c r="E527" s="6"/>
      <c r="F527" s="6"/>
      <c r="G527" s="94"/>
      <c r="H527" s="95"/>
    </row>
    <row r="528" spans="1:9" ht="30.75" thickBot="1" x14ac:dyDescent="0.3">
      <c r="A528" s="2" t="s">
        <v>20</v>
      </c>
      <c r="B528" s="6"/>
      <c r="C528" s="8"/>
      <c r="D528" s="6"/>
      <c r="E528" s="6">
        <v>0</v>
      </c>
      <c r="F528" s="6"/>
      <c r="G528" s="90">
        <v>25303</v>
      </c>
      <c r="H528" s="91"/>
    </row>
    <row r="529" spans="1:11" ht="30.75" hidden="1" thickBot="1" x14ac:dyDescent="0.3">
      <c r="A529" s="2" t="s">
        <v>21</v>
      </c>
      <c r="B529" s="6">
        <f>G529*56%</f>
        <v>14236.320000000002</v>
      </c>
      <c r="C529" s="6"/>
      <c r="D529" s="84">
        <f>G529-B529</f>
        <v>11185.679999999998</v>
      </c>
      <c r="E529" s="8" t="s">
        <v>8</v>
      </c>
      <c r="F529" s="8" t="s">
        <v>8</v>
      </c>
      <c r="G529" s="90">
        <f>24612+810</f>
        <v>25422</v>
      </c>
      <c r="H529" s="91"/>
    </row>
    <row r="530" spans="1:11" ht="15.75" hidden="1" thickBot="1" x14ac:dyDescent="0.3">
      <c r="A530" s="3" t="s">
        <v>22</v>
      </c>
      <c r="B530" s="6">
        <f>G530*56%</f>
        <v>17025.68</v>
      </c>
      <c r="C530" s="6"/>
      <c r="D530" s="84">
        <f>G530-B530</f>
        <v>13377.32</v>
      </c>
      <c r="E530" s="8" t="s">
        <v>8</v>
      </c>
      <c r="F530" s="8" t="s">
        <v>8</v>
      </c>
      <c r="G530" s="90">
        <f>15320+11424+10+3649</f>
        <v>30403</v>
      </c>
      <c r="H530" s="91"/>
    </row>
    <row r="531" spans="1:11" ht="15.75" hidden="1" thickBot="1" x14ac:dyDescent="0.3">
      <c r="A531" s="3" t="s">
        <v>23</v>
      </c>
      <c r="B531" s="8" t="s">
        <v>8</v>
      </c>
      <c r="C531" s="12"/>
      <c r="D531" s="8" t="s">
        <v>8</v>
      </c>
      <c r="E531" s="8" t="s">
        <v>8</v>
      </c>
      <c r="F531" s="8" t="s">
        <v>8</v>
      </c>
      <c r="G531" s="94"/>
      <c r="H531" s="95"/>
    </row>
    <row r="532" spans="1:11" ht="15.75" hidden="1" thickBot="1" x14ac:dyDescent="0.3">
      <c r="A532" s="3" t="s">
        <v>24</v>
      </c>
      <c r="B532" s="6"/>
      <c r="C532" s="6"/>
      <c r="D532" s="6"/>
      <c r="E532" s="8" t="s">
        <v>8</v>
      </c>
      <c r="F532" s="8" t="s">
        <v>8</v>
      </c>
      <c r="G532" s="90"/>
      <c r="H532" s="91"/>
    </row>
    <row r="533" spans="1:11" ht="15.75" hidden="1" thickBot="1" x14ac:dyDescent="0.3">
      <c r="A533" s="4" t="s">
        <v>25</v>
      </c>
      <c r="B533" s="6">
        <f>SUM(B517:B532)</f>
        <v>166265.33000000002</v>
      </c>
      <c r="C533" s="6"/>
      <c r="D533" s="6">
        <f>SUM(D517:D532)</f>
        <v>70639.67</v>
      </c>
      <c r="E533" s="6">
        <f>SUM(E517:E532)</f>
        <v>0</v>
      </c>
      <c r="F533" s="6"/>
      <c r="G533" s="90">
        <f>SUM(G517:H532)</f>
        <v>262208</v>
      </c>
      <c r="H533" s="91"/>
    </row>
    <row r="534" spans="1:11" hidden="1" x14ac:dyDescent="0.25">
      <c r="A534" s="92" t="s">
        <v>26</v>
      </c>
      <c r="B534" s="92"/>
      <c r="C534" s="92"/>
      <c r="D534" s="92"/>
      <c r="E534" s="92"/>
      <c r="F534" s="92"/>
      <c r="G534" s="92"/>
      <c r="H534" s="92"/>
    </row>
    <row r="535" spans="1:11" hidden="1" x14ac:dyDescent="0.25">
      <c r="A535" s="93" t="s">
        <v>27</v>
      </c>
      <c r="B535" s="93"/>
      <c r="C535" s="93"/>
      <c r="D535" s="93"/>
      <c r="E535" s="93"/>
      <c r="F535" s="93"/>
      <c r="G535" s="93"/>
      <c r="H535" s="93"/>
    </row>
    <row r="536" spans="1:11" hidden="1" x14ac:dyDescent="0.25">
      <c r="A536" s="93" t="s">
        <v>28</v>
      </c>
      <c r="B536" s="93"/>
      <c r="C536" s="93"/>
      <c r="D536" s="93"/>
      <c r="E536" s="93"/>
      <c r="F536" s="93"/>
      <c r="G536" s="93"/>
      <c r="H536" s="93"/>
      <c r="K536" s="10" t="e">
        <f>#REF!-#REF!</f>
        <v>#REF!</v>
      </c>
    </row>
    <row r="537" spans="1:11" hidden="1" x14ac:dyDescent="0.25">
      <c r="B537" s="10" t="s">
        <v>108</v>
      </c>
      <c r="C537" s="10">
        <v>157760</v>
      </c>
      <c r="K537" s="10" t="e">
        <f>K536-244898</f>
        <v>#REF!</v>
      </c>
    </row>
    <row r="538" spans="1:11" hidden="1" x14ac:dyDescent="0.25">
      <c r="C538" s="10">
        <f>C537-B533</f>
        <v>-8505.3300000000163</v>
      </c>
    </row>
    <row r="550" spans="1:8" x14ac:dyDescent="0.25">
      <c r="A550" s="85"/>
      <c r="B550" s="86"/>
      <c r="C550" s="86"/>
      <c r="D550" s="86"/>
      <c r="E550" s="112" t="s">
        <v>29</v>
      </c>
      <c r="F550" s="112"/>
      <c r="G550" s="112"/>
      <c r="H550" s="112"/>
    </row>
    <row r="551" spans="1:8" x14ac:dyDescent="0.25">
      <c r="A551" s="113"/>
      <c r="B551" s="114"/>
      <c r="C551" s="114"/>
      <c r="D551" s="115"/>
      <c r="E551" s="115" t="s">
        <v>0</v>
      </c>
      <c r="F551" s="115"/>
      <c r="G551" s="115"/>
      <c r="H551" s="115"/>
    </row>
    <row r="552" spans="1:8" x14ac:dyDescent="0.25">
      <c r="A552" s="113"/>
      <c r="B552" s="114"/>
      <c r="C552" s="114"/>
      <c r="D552" s="115"/>
      <c r="E552" s="126" t="s">
        <v>31</v>
      </c>
      <c r="F552" s="115"/>
      <c r="G552" s="115"/>
      <c r="H552" s="115"/>
    </row>
    <row r="553" spans="1:8" ht="15.75" thickBot="1" x14ac:dyDescent="0.3">
      <c r="A553" s="98" t="s">
        <v>38</v>
      </c>
      <c r="B553" s="98"/>
      <c r="C553" s="98"/>
      <c r="D553" s="98"/>
      <c r="E553" s="98"/>
      <c r="F553" s="98"/>
      <c r="G553" s="99"/>
      <c r="H553" s="99"/>
    </row>
    <row r="554" spans="1:8" x14ac:dyDescent="0.25">
      <c r="A554" s="100" t="s">
        <v>2</v>
      </c>
      <c r="B554" s="103" t="s">
        <v>30</v>
      </c>
      <c r="C554" s="104"/>
      <c r="D554" s="104"/>
      <c r="E554" s="104"/>
      <c r="F554" s="104"/>
      <c r="G554" s="105" t="s">
        <v>3</v>
      </c>
      <c r="H554" s="106"/>
    </row>
    <row r="555" spans="1:8" ht="135.75" thickBot="1" x14ac:dyDescent="0.3">
      <c r="A555" s="124"/>
      <c r="B555" s="105" t="s">
        <v>30</v>
      </c>
      <c r="C555" s="105"/>
      <c r="D555" s="15" t="s">
        <v>32</v>
      </c>
      <c r="E555" s="105" t="s">
        <v>4</v>
      </c>
      <c r="F555" s="105"/>
      <c r="G555" s="125"/>
      <c r="H555" s="109"/>
    </row>
    <row r="556" spans="1:8" ht="165.75" thickBot="1" x14ac:dyDescent="0.3">
      <c r="A556" s="102"/>
      <c r="B556" s="14" t="s">
        <v>36</v>
      </c>
      <c r="C556" s="83" t="s">
        <v>5</v>
      </c>
      <c r="D556" s="15" t="s">
        <v>33</v>
      </c>
      <c r="E556" s="83" t="s">
        <v>34</v>
      </c>
      <c r="F556" s="89" t="s">
        <v>35</v>
      </c>
      <c r="G556" s="110"/>
      <c r="H556" s="111"/>
    </row>
    <row r="557" spans="1:8" ht="15.75" thickBot="1" x14ac:dyDescent="0.3">
      <c r="A557" s="82">
        <v>1</v>
      </c>
      <c r="B557" s="89">
        <v>2</v>
      </c>
      <c r="C557" s="16">
        <v>3</v>
      </c>
      <c r="D557" s="83">
        <v>4</v>
      </c>
      <c r="E557" s="11">
        <v>5</v>
      </c>
      <c r="F557" s="89">
        <v>6</v>
      </c>
      <c r="G557" s="96" t="s">
        <v>37</v>
      </c>
      <c r="H557" s="97"/>
    </row>
    <row r="558" spans="1:8" ht="60.75" thickBot="1" x14ac:dyDescent="0.3">
      <c r="A558" s="2" t="s">
        <v>7</v>
      </c>
      <c r="B558" s="6">
        <f>B559</f>
        <v>56298.479999999996</v>
      </c>
      <c r="C558" s="12"/>
      <c r="D558" s="6">
        <f>D559</f>
        <v>60924.520000000004</v>
      </c>
      <c r="E558" s="8" t="s">
        <v>8</v>
      </c>
      <c r="F558" s="8" t="s">
        <v>8</v>
      </c>
      <c r="G558" s="90">
        <f>120510-1278-2075+66</f>
        <v>117223</v>
      </c>
      <c r="H558" s="91"/>
    </row>
    <row r="559" spans="1:8" ht="15.75" thickBot="1" x14ac:dyDescent="0.3">
      <c r="A559" s="3" t="s">
        <v>9</v>
      </c>
      <c r="B559" s="6">
        <f>G559*76%-32791</f>
        <v>56298.479999999996</v>
      </c>
      <c r="C559" s="12"/>
      <c r="D559" s="84">
        <f>G559-B559</f>
        <v>60924.520000000004</v>
      </c>
      <c r="E559" s="8" t="s">
        <v>8</v>
      </c>
      <c r="F559" s="8" t="s">
        <v>8</v>
      </c>
      <c r="G559" s="90">
        <f>G558</f>
        <v>117223</v>
      </c>
      <c r="H559" s="91"/>
    </row>
    <row r="560" spans="1:8" ht="15.75" thickBot="1" x14ac:dyDescent="0.3">
      <c r="A560" s="2" t="s">
        <v>10</v>
      </c>
      <c r="B560" s="6">
        <v>0</v>
      </c>
      <c r="C560" s="12"/>
      <c r="D560" s="6">
        <v>0</v>
      </c>
      <c r="E560" s="8" t="s">
        <v>8</v>
      </c>
      <c r="F560" s="8" t="s">
        <v>8</v>
      </c>
      <c r="G560" s="90">
        <v>0</v>
      </c>
      <c r="H560" s="91"/>
    </row>
    <row r="561" spans="1:11" ht="60.75" hidden="1" thickBot="1" x14ac:dyDescent="0.3">
      <c r="A561" s="2" t="s">
        <v>11</v>
      </c>
      <c r="B561" s="6">
        <f>G561*76%</f>
        <v>45329.440000000002</v>
      </c>
      <c r="C561" s="12"/>
      <c r="D561" s="84">
        <f>G561-B561</f>
        <v>14314.559999999998</v>
      </c>
      <c r="E561" s="8" t="s">
        <v>8</v>
      </c>
      <c r="F561" s="8" t="s">
        <v>8</v>
      </c>
      <c r="G561" s="90">
        <f>60472-828</f>
        <v>59644</v>
      </c>
      <c r="H561" s="91"/>
    </row>
    <row r="562" spans="1:11" ht="30.75" hidden="1" thickBot="1" x14ac:dyDescent="0.3">
      <c r="A562" s="2" t="s">
        <v>12</v>
      </c>
      <c r="B562" s="6">
        <f>G562*76%</f>
        <v>3177.56</v>
      </c>
      <c r="C562" s="12"/>
      <c r="D562" s="84">
        <f>G562-B562</f>
        <v>1003.44</v>
      </c>
      <c r="E562" s="8" t="s">
        <v>8</v>
      </c>
      <c r="F562" s="8" t="s">
        <v>8</v>
      </c>
      <c r="G562" s="90">
        <f>1278+2075+828</f>
        <v>4181</v>
      </c>
      <c r="H562" s="91"/>
    </row>
    <row r="563" spans="1:11" ht="15.75" hidden="1" thickBot="1" x14ac:dyDescent="0.3">
      <c r="A563" s="2" t="s">
        <v>13</v>
      </c>
      <c r="B563" s="6">
        <f>G563*56%</f>
        <v>8611.1200000000008</v>
      </c>
      <c r="C563" s="6"/>
      <c r="D563" s="84">
        <f>G563-B563</f>
        <v>6765.8799999999992</v>
      </c>
      <c r="E563" s="8" t="s">
        <v>8</v>
      </c>
      <c r="F563" s="8" t="s">
        <v>8</v>
      </c>
      <c r="G563" s="90">
        <v>15377</v>
      </c>
      <c r="H563" s="91"/>
    </row>
    <row r="564" spans="1:11" ht="30.75" hidden="1" thickBot="1" x14ac:dyDescent="0.3">
      <c r="A564" s="2" t="s">
        <v>14</v>
      </c>
      <c r="B564" s="6">
        <f>G564*56%</f>
        <v>4506.88</v>
      </c>
      <c r="C564" s="6"/>
      <c r="D564" s="84">
        <f>G564-B564</f>
        <v>3541.12</v>
      </c>
      <c r="E564" s="8" t="s">
        <v>8</v>
      </c>
      <c r="F564" s="8" t="s">
        <v>8</v>
      </c>
      <c r="G564" s="90">
        <f>4824+3224</f>
        <v>8048</v>
      </c>
      <c r="H564" s="91"/>
    </row>
    <row r="565" spans="1:11" ht="45.75" hidden="1" thickBot="1" x14ac:dyDescent="0.3">
      <c r="A565" s="2" t="s">
        <v>15</v>
      </c>
      <c r="B565" s="8" t="s">
        <v>8</v>
      </c>
      <c r="C565" s="8" t="s">
        <v>8</v>
      </c>
      <c r="D565" s="6"/>
      <c r="E565" s="8" t="s">
        <v>8</v>
      </c>
      <c r="F565" s="8" t="s">
        <v>8</v>
      </c>
      <c r="G565" s="90"/>
      <c r="H565" s="91"/>
    </row>
    <row r="566" spans="1:11" ht="15.75" hidden="1" thickBot="1" x14ac:dyDescent="0.3">
      <c r="A566" s="2" t="s">
        <v>16</v>
      </c>
      <c r="B566" s="8" t="s">
        <v>8</v>
      </c>
      <c r="C566" s="8" t="s">
        <v>8</v>
      </c>
      <c r="D566" s="12"/>
      <c r="E566" s="6">
        <v>0</v>
      </c>
      <c r="F566" s="6"/>
      <c r="G566" s="90">
        <v>0</v>
      </c>
      <c r="H566" s="91"/>
    </row>
    <row r="567" spans="1:11" ht="15.75" hidden="1" thickBot="1" x14ac:dyDescent="0.3">
      <c r="A567" s="3" t="s">
        <v>17</v>
      </c>
      <c r="B567" s="6">
        <f>G567*56%</f>
        <v>0</v>
      </c>
      <c r="C567" s="8"/>
      <c r="D567" s="6"/>
      <c r="E567" s="6">
        <f>G567-B567</f>
        <v>0</v>
      </c>
      <c r="F567" s="6"/>
      <c r="G567" s="90">
        <v>0</v>
      </c>
      <c r="H567" s="91"/>
      <c r="K567" s="10">
        <f>G671+G674+G675</f>
        <v>251785</v>
      </c>
    </row>
    <row r="568" spans="1:11" ht="15.75" hidden="1" thickBot="1" x14ac:dyDescent="0.3">
      <c r="A568" s="3" t="s">
        <v>18</v>
      </c>
      <c r="B568" s="6"/>
      <c r="C568" s="8"/>
      <c r="D568" s="8"/>
      <c r="E568" s="6"/>
      <c r="F568" s="6"/>
      <c r="G568" s="90"/>
      <c r="H568" s="91"/>
      <c r="K568" s="10">
        <f>251786-K567</f>
        <v>1</v>
      </c>
    </row>
    <row r="569" spans="1:11" ht="45.75" hidden="1" thickBot="1" x14ac:dyDescent="0.3">
      <c r="A569" s="2" t="s">
        <v>19</v>
      </c>
      <c r="B569" s="6"/>
      <c r="C569" s="8"/>
      <c r="D569" s="6"/>
      <c r="E569" s="6"/>
      <c r="F569" s="6"/>
      <c r="G569" s="94"/>
      <c r="H569" s="95"/>
    </row>
    <row r="570" spans="1:11" ht="30.75" hidden="1" thickBot="1" x14ac:dyDescent="0.3">
      <c r="A570" s="2" t="s">
        <v>20</v>
      </c>
      <c r="B570" s="6">
        <f>G570*56%</f>
        <v>15947.680000000002</v>
      </c>
      <c r="C570" s="8"/>
      <c r="D570" s="6"/>
      <c r="E570" s="6">
        <f>G570-B570</f>
        <v>12530.319999999998</v>
      </c>
      <c r="F570" s="6"/>
      <c r="G570" s="90">
        <v>28478</v>
      </c>
      <c r="H570" s="91"/>
    </row>
    <row r="571" spans="1:11" ht="30.75" thickBot="1" x14ac:dyDescent="0.3">
      <c r="A571" s="2" t="s">
        <v>21</v>
      </c>
      <c r="B571" s="6">
        <f>G571*56%</f>
        <v>14820.400000000001</v>
      </c>
      <c r="C571" s="6"/>
      <c r="D571" s="84">
        <f>G571-B571</f>
        <v>11644.599999999999</v>
      </c>
      <c r="E571" s="8" t="s">
        <v>8</v>
      </c>
      <c r="F571" s="8" t="s">
        <v>8</v>
      </c>
      <c r="G571" s="90">
        <f>25189+241+1035</f>
        <v>26465</v>
      </c>
      <c r="H571" s="91"/>
    </row>
    <row r="572" spans="1:11" ht="15.75" thickBot="1" x14ac:dyDescent="0.3">
      <c r="A572" s="3" t="s">
        <v>22</v>
      </c>
      <c r="B572" s="6">
        <f>G572*56%</f>
        <v>18046.560000000001</v>
      </c>
      <c r="C572" s="6"/>
      <c r="D572" s="84">
        <f>G572-B572</f>
        <v>14179.439999999999</v>
      </c>
      <c r="E572" s="8" t="s">
        <v>8</v>
      </c>
      <c r="F572" s="8" t="s">
        <v>8</v>
      </c>
      <c r="G572" s="90">
        <f>128+13098+10+3670+15320</f>
        <v>32226</v>
      </c>
      <c r="H572" s="91"/>
    </row>
    <row r="573" spans="1:11" ht="15.75" thickBot="1" x14ac:dyDescent="0.3">
      <c r="A573" s="3" t="s">
        <v>23</v>
      </c>
      <c r="B573" s="8" t="s">
        <v>8</v>
      </c>
      <c r="C573" s="12"/>
      <c r="D573" s="8" t="s">
        <v>8</v>
      </c>
      <c r="E573" s="8" t="s">
        <v>8</v>
      </c>
      <c r="F573" s="8" t="s">
        <v>8</v>
      </c>
      <c r="G573" s="94"/>
      <c r="H573" s="95"/>
    </row>
    <row r="574" spans="1:11" ht="15.75" thickBot="1" x14ac:dyDescent="0.3">
      <c r="A574" s="3" t="s">
        <v>24</v>
      </c>
      <c r="B574" s="6">
        <f>G574*56%</f>
        <v>0</v>
      </c>
      <c r="C574" s="6"/>
      <c r="D574" s="6"/>
      <c r="E574" s="8" t="s">
        <v>8</v>
      </c>
      <c r="F574" s="8" t="s">
        <v>8</v>
      </c>
      <c r="G574" s="90"/>
      <c r="H574" s="91"/>
    </row>
    <row r="575" spans="1:11" ht="15.75" thickBot="1" x14ac:dyDescent="0.3">
      <c r="A575" s="4" t="s">
        <v>25</v>
      </c>
      <c r="B575" s="6">
        <f>SUM(B559:B574)</f>
        <v>166738.12</v>
      </c>
      <c r="C575" s="6"/>
      <c r="D575" s="6">
        <f>SUM(D559:D574)</f>
        <v>112373.56</v>
      </c>
      <c r="E575" s="6">
        <f>SUM(E559:E574)</f>
        <v>12530.319999999998</v>
      </c>
      <c r="F575" s="6"/>
      <c r="G575" s="90">
        <f>SUM(G559:H574)</f>
        <v>291642</v>
      </c>
      <c r="H575" s="91"/>
      <c r="J575" s="10">
        <f>291642-G575</f>
        <v>0</v>
      </c>
    </row>
    <row r="576" spans="1:11" x14ac:dyDescent="0.25">
      <c r="A576" s="92" t="s">
        <v>26</v>
      </c>
      <c r="B576" s="92"/>
      <c r="C576" s="92"/>
      <c r="D576" s="92"/>
      <c r="E576" s="92"/>
      <c r="F576" s="92"/>
      <c r="G576" s="92"/>
      <c r="H576" s="92"/>
    </row>
    <row r="577" spans="1:8" x14ac:dyDescent="0.25">
      <c r="A577" s="93" t="s">
        <v>27</v>
      </c>
      <c r="B577" s="93"/>
      <c r="C577" s="93"/>
      <c r="D577" s="93"/>
      <c r="E577" s="93"/>
      <c r="F577" s="93"/>
      <c r="G577" s="93"/>
      <c r="H577" s="93"/>
    </row>
    <row r="578" spans="1:8" x14ac:dyDescent="0.25">
      <c r="A578" s="93" t="s">
        <v>28</v>
      </c>
      <c r="B578" s="93"/>
      <c r="C578" s="93"/>
      <c r="D578" s="93"/>
      <c r="E578" s="93"/>
      <c r="F578" s="93"/>
      <c r="G578" s="93"/>
      <c r="H578" s="93"/>
    </row>
    <row r="579" spans="1:8" x14ac:dyDescent="0.25">
      <c r="A579" s="1"/>
      <c r="B579" s="9"/>
      <c r="C579" s="9"/>
      <c r="D579" s="9"/>
      <c r="E579" s="9"/>
      <c r="F579" s="9"/>
      <c r="G579" s="9"/>
      <c r="H579" s="9"/>
    </row>
    <row r="580" spans="1:8" ht="15.75" x14ac:dyDescent="0.25">
      <c r="A580" s="5"/>
      <c r="B580" s="13" t="s">
        <v>109</v>
      </c>
      <c r="C580" s="13">
        <v>173415</v>
      </c>
    </row>
    <row r="581" spans="1:8" x14ac:dyDescent="0.25">
      <c r="C581" s="10">
        <f>C580-B575</f>
        <v>6676.8800000000047</v>
      </c>
    </row>
    <row r="582" spans="1:8" x14ac:dyDescent="0.25">
      <c r="C582"/>
      <c r="D582"/>
      <c r="E582"/>
      <c r="F582"/>
      <c r="G582"/>
      <c r="H582"/>
    </row>
    <row r="583" spans="1:8" x14ac:dyDescent="0.25">
      <c r="C583"/>
      <c r="D583"/>
      <c r="E583"/>
      <c r="F583"/>
      <c r="G583"/>
      <c r="H583"/>
    </row>
    <row r="584" spans="1:8" x14ac:dyDescent="0.25">
      <c r="C584"/>
      <c r="D584"/>
      <c r="E584"/>
      <c r="F584"/>
      <c r="G584"/>
      <c r="H584"/>
    </row>
    <row r="585" spans="1:8" x14ac:dyDescent="0.25">
      <c r="A585" s="85"/>
      <c r="B585" s="86"/>
      <c r="C585" s="86"/>
      <c r="D585" s="86"/>
      <c r="E585" s="112" t="s">
        <v>29</v>
      </c>
      <c r="F585" s="112"/>
      <c r="G585" s="112"/>
      <c r="H585" s="112"/>
    </row>
    <row r="586" spans="1:8" x14ac:dyDescent="0.25">
      <c r="A586" s="113"/>
      <c r="B586" s="114"/>
      <c r="C586" s="114"/>
      <c r="D586" s="115"/>
      <c r="E586" s="115" t="s">
        <v>0</v>
      </c>
      <c r="F586" s="115"/>
      <c r="G586" s="115"/>
      <c r="H586" s="115"/>
    </row>
    <row r="587" spans="1:8" x14ac:dyDescent="0.25">
      <c r="A587" s="113"/>
      <c r="B587" s="114"/>
      <c r="C587" s="114"/>
      <c r="D587" s="115"/>
      <c r="E587" s="126" t="s">
        <v>31</v>
      </c>
      <c r="F587" s="115"/>
      <c r="G587" s="115"/>
      <c r="H587" s="115"/>
    </row>
    <row r="588" spans="1:8" ht="15.75" thickBot="1" x14ac:dyDescent="0.3">
      <c r="A588" s="98" t="s">
        <v>79</v>
      </c>
      <c r="B588" s="98"/>
      <c r="C588" s="98"/>
      <c r="D588" s="98"/>
      <c r="E588" s="98"/>
      <c r="F588" s="98"/>
      <c r="G588" s="99"/>
      <c r="H588" s="99"/>
    </row>
    <row r="589" spans="1:8" x14ac:dyDescent="0.25">
      <c r="A589" s="100" t="s">
        <v>2</v>
      </c>
      <c r="B589" s="103" t="s">
        <v>30</v>
      </c>
      <c r="C589" s="104"/>
      <c r="D589" s="104"/>
      <c r="E589" s="104"/>
      <c r="F589" s="104"/>
      <c r="G589" s="105" t="s">
        <v>3</v>
      </c>
      <c r="H589" s="106"/>
    </row>
    <row r="590" spans="1:8" ht="135.75" thickBot="1" x14ac:dyDescent="0.3">
      <c r="A590" s="124"/>
      <c r="B590" s="105" t="s">
        <v>30</v>
      </c>
      <c r="C590" s="105"/>
      <c r="D590" s="15" t="s">
        <v>32</v>
      </c>
      <c r="E590" s="105" t="s">
        <v>4</v>
      </c>
      <c r="F590" s="105"/>
      <c r="G590" s="125"/>
      <c r="H590" s="109"/>
    </row>
    <row r="591" spans="1:8" ht="165.75" thickBot="1" x14ac:dyDescent="0.3">
      <c r="A591" s="102"/>
      <c r="B591" s="14" t="s">
        <v>36</v>
      </c>
      <c r="C591" s="83" t="s">
        <v>5</v>
      </c>
      <c r="D591" s="15" t="s">
        <v>33</v>
      </c>
      <c r="E591" s="83" t="s">
        <v>34</v>
      </c>
      <c r="F591" s="89" t="s">
        <v>35</v>
      </c>
      <c r="G591" s="110"/>
      <c r="H591" s="111"/>
    </row>
    <row r="592" spans="1:8" ht="15.75" thickBot="1" x14ac:dyDescent="0.3">
      <c r="A592" s="82">
        <v>1</v>
      </c>
      <c r="B592" s="89">
        <v>2</v>
      </c>
      <c r="C592" s="16">
        <v>3</v>
      </c>
      <c r="D592" s="83">
        <v>4</v>
      </c>
      <c r="E592" s="11">
        <v>5</v>
      </c>
      <c r="F592" s="89">
        <v>6</v>
      </c>
      <c r="G592" s="96" t="s">
        <v>37</v>
      </c>
      <c r="H592" s="97"/>
    </row>
    <row r="593" spans="1:11" ht="60.75" hidden="1" thickBot="1" x14ac:dyDescent="0.3">
      <c r="A593" s="2" t="s">
        <v>7</v>
      </c>
      <c r="B593" s="6">
        <f>B594</f>
        <v>68760.2</v>
      </c>
      <c r="C593" s="12"/>
      <c r="D593" s="6">
        <f>D594</f>
        <v>64859.8</v>
      </c>
      <c r="E593" s="8" t="s">
        <v>8</v>
      </c>
      <c r="F593" s="8" t="s">
        <v>8</v>
      </c>
      <c r="G593" s="90">
        <f>137021-1392-2075+66</f>
        <v>133620</v>
      </c>
      <c r="H593" s="91"/>
    </row>
    <row r="594" spans="1:11" ht="15.75" hidden="1" thickBot="1" x14ac:dyDescent="0.3">
      <c r="A594" s="3" t="s">
        <v>9</v>
      </c>
      <c r="B594" s="6">
        <f>G594*76%-32791</f>
        <v>68760.2</v>
      </c>
      <c r="C594" s="12"/>
      <c r="D594" s="84">
        <f>G594-B594</f>
        <v>64859.8</v>
      </c>
      <c r="E594" s="8" t="s">
        <v>8</v>
      </c>
      <c r="F594" s="8" t="s">
        <v>8</v>
      </c>
      <c r="G594" s="90">
        <f>G593</f>
        <v>133620</v>
      </c>
      <c r="H594" s="91"/>
    </row>
    <row r="595" spans="1:11" ht="15.75" hidden="1" thickBot="1" x14ac:dyDescent="0.3">
      <c r="A595" s="2" t="s">
        <v>10</v>
      </c>
      <c r="B595" s="6">
        <v>0</v>
      </c>
      <c r="C595" s="12"/>
      <c r="D595" s="6">
        <v>0</v>
      </c>
      <c r="E595" s="8" t="s">
        <v>8</v>
      </c>
      <c r="F595" s="8" t="s">
        <v>8</v>
      </c>
      <c r="G595" s="90">
        <v>0</v>
      </c>
      <c r="H595" s="91"/>
    </row>
    <row r="596" spans="1:11" ht="60.75" hidden="1" thickBot="1" x14ac:dyDescent="0.3">
      <c r="A596" s="2" t="s">
        <v>11</v>
      </c>
      <c r="B596" s="6">
        <f>G596*76%</f>
        <v>50893.4</v>
      </c>
      <c r="C596" s="12"/>
      <c r="D596" s="84">
        <f>G596-B596</f>
        <v>16071.599999999999</v>
      </c>
      <c r="E596" s="8" t="s">
        <v>8</v>
      </c>
      <c r="F596" s="8" t="s">
        <v>8</v>
      </c>
      <c r="G596" s="90">
        <f>67848-883</f>
        <v>66965</v>
      </c>
      <c r="H596" s="91"/>
    </row>
    <row r="597" spans="1:11" ht="30.75" hidden="1" thickBot="1" x14ac:dyDescent="0.3">
      <c r="A597" s="2" t="s">
        <v>12</v>
      </c>
      <c r="B597" s="6">
        <f>G597*76%</f>
        <v>3306</v>
      </c>
      <c r="C597" s="12"/>
      <c r="D597" s="84">
        <f>G597-B597</f>
        <v>1044</v>
      </c>
      <c r="E597" s="8" t="s">
        <v>8</v>
      </c>
      <c r="F597" s="8" t="s">
        <v>8</v>
      </c>
      <c r="G597" s="90">
        <f>883+1392+2075</f>
        <v>4350</v>
      </c>
      <c r="H597" s="91"/>
    </row>
    <row r="598" spans="1:11" ht="15.75" hidden="1" thickBot="1" x14ac:dyDescent="0.3">
      <c r="A598" s="2" t="s">
        <v>13</v>
      </c>
      <c r="B598" s="6">
        <f>G598*56%</f>
        <v>9776.4800000000014</v>
      </c>
      <c r="C598" s="6"/>
      <c r="D598" s="84">
        <f>G598-B598</f>
        <v>7681.5199999999986</v>
      </c>
      <c r="E598" s="8" t="s">
        <v>8</v>
      </c>
      <c r="F598" s="8" t="s">
        <v>8</v>
      </c>
      <c r="G598" s="90">
        <v>17458</v>
      </c>
      <c r="H598" s="91"/>
    </row>
    <row r="599" spans="1:11" ht="30.75" hidden="1" thickBot="1" x14ac:dyDescent="0.3">
      <c r="A599" s="2" t="s">
        <v>14</v>
      </c>
      <c r="B599" s="6">
        <f>G599*56%</f>
        <v>4672.6400000000003</v>
      </c>
      <c r="C599" s="6"/>
      <c r="D599" s="84">
        <f>G599-B599</f>
        <v>3671.3599999999997</v>
      </c>
      <c r="E599" s="8" t="s">
        <v>8</v>
      </c>
      <c r="F599" s="8" t="s">
        <v>8</v>
      </c>
      <c r="G599" s="90">
        <f>5027+3317</f>
        <v>8344</v>
      </c>
      <c r="H599" s="91"/>
      <c r="I599" s="10">
        <f>G596+G597+G594</f>
        <v>204935</v>
      </c>
    </row>
    <row r="600" spans="1:11" ht="45.75" hidden="1" thickBot="1" x14ac:dyDescent="0.3">
      <c r="A600" s="2" t="s">
        <v>15</v>
      </c>
      <c r="B600" s="8" t="s">
        <v>8</v>
      </c>
      <c r="C600" s="8" t="s">
        <v>8</v>
      </c>
      <c r="D600" s="6"/>
      <c r="E600" s="8" t="s">
        <v>8</v>
      </c>
      <c r="F600" s="8" t="s">
        <v>8</v>
      </c>
      <c r="G600" s="90"/>
      <c r="H600" s="91"/>
    </row>
    <row r="601" spans="1:11" ht="15.75" hidden="1" thickBot="1" x14ac:dyDescent="0.3">
      <c r="A601" s="2" t="s">
        <v>16</v>
      </c>
      <c r="B601" s="8" t="s">
        <v>8</v>
      </c>
      <c r="C601" s="8" t="s">
        <v>8</v>
      </c>
      <c r="D601" s="12"/>
      <c r="E601" s="6">
        <v>0</v>
      </c>
      <c r="F601" s="6"/>
      <c r="G601" s="90">
        <v>0</v>
      </c>
      <c r="H601" s="91"/>
    </row>
    <row r="602" spans="1:11" ht="15.75" hidden="1" thickBot="1" x14ac:dyDescent="0.3">
      <c r="A602" s="3" t="s">
        <v>17</v>
      </c>
      <c r="B602" s="6">
        <f>G602*56%</f>
        <v>0</v>
      </c>
      <c r="C602" s="8"/>
      <c r="D602" s="6"/>
      <c r="E602" s="6">
        <f>G602-B602</f>
        <v>0</v>
      </c>
      <c r="F602" s="6"/>
      <c r="G602" s="90">
        <v>0</v>
      </c>
      <c r="H602" s="91"/>
      <c r="K602" s="10" t="e">
        <f>#REF!+#REF!+#REF!</f>
        <v>#REF!</v>
      </c>
    </row>
    <row r="603" spans="1:11" ht="15.75" hidden="1" thickBot="1" x14ac:dyDescent="0.3">
      <c r="A603" s="3" t="s">
        <v>18</v>
      </c>
      <c r="B603" s="6"/>
      <c r="C603" s="8"/>
      <c r="D603" s="8"/>
      <c r="E603" s="6"/>
      <c r="F603" s="6"/>
      <c r="G603" s="90"/>
      <c r="H603" s="91"/>
      <c r="K603" s="10" t="e">
        <f>251786-K602</f>
        <v>#REF!</v>
      </c>
    </row>
    <row r="604" spans="1:11" ht="45.75" hidden="1" thickBot="1" x14ac:dyDescent="0.3">
      <c r="A604" s="2" t="s">
        <v>19</v>
      </c>
      <c r="B604" s="6"/>
      <c r="C604" s="8"/>
      <c r="D604" s="6"/>
      <c r="E604" s="6"/>
      <c r="F604" s="6"/>
      <c r="G604" s="94"/>
      <c r="H604" s="95"/>
    </row>
    <row r="605" spans="1:11" ht="30.75" hidden="1" thickBot="1" x14ac:dyDescent="0.3">
      <c r="A605" s="2" t="s">
        <v>20</v>
      </c>
      <c r="B605" s="6">
        <f>G605*56%</f>
        <v>17736.88</v>
      </c>
      <c r="C605" s="8"/>
      <c r="D605" s="6"/>
      <c r="E605" s="6">
        <f>G605-B605</f>
        <v>13936.119999999999</v>
      </c>
      <c r="F605" s="6"/>
      <c r="G605" s="90">
        <v>31673</v>
      </c>
      <c r="H605" s="91"/>
    </row>
    <row r="606" spans="1:11" ht="30.75" hidden="1" thickBot="1" x14ac:dyDescent="0.3">
      <c r="A606" s="2" t="s">
        <v>21</v>
      </c>
      <c r="B606" s="6">
        <f>G606*56%</f>
        <v>16354.800000000001</v>
      </c>
      <c r="C606" s="6"/>
      <c r="D606" s="84">
        <f>G606-B606</f>
        <v>12850.199999999999</v>
      </c>
      <c r="E606" s="8" t="s">
        <v>8</v>
      </c>
      <c r="F606" s="8" t="s">
        <v>8</v>
      </c>
      <c r="G606" s="90">
        <f>27713+241+1251</f>
        <v>29205</v>
      </c>
      <c r="H606" s="91"/>
    </row>
    <row r="607" spans="1:11" ht="15.75" hidden="1" thickBot="1" x14ac:dyDescent="0.3">
      <c r="A607" s="3" t="s">
        <v>22</v>
      </c>
      <c r="B607" s="6">
        <f>G607*56%</f>
        <v>18949.280000000002</v>
      </c>
      <c r="C607" s="6"/>
      <c r="D607" s="84">
        <f>G607-B607</f>
        <v>14888.719999999998</v>
      </c>
      <c r="E607" s="8" t="s">
        <v>8</v>
      </c>
      <c r="F607" s="8" t="s">
        <v>8</v>
      </c>
      <c r="G607" s="90">
        <f>128+14704+10+3676+15320</f>
        <v>33838</v>
      </c>
      <c r="H607" s="91"/>
    </row>
    <row r="608" spans="1:11" ht="15.75" hidden="1" thickBot="1" x14ac:dyDescent="0.3">
      <c r="A608" s="3" t="s">
        <v>23</v>
      </c>
      <c r="B608" s="8" t="s">
        <v>8</v>
      </c>
      <c r="C608" s="12"/>
      <c r="D608" s="8" t="s">
        <v>8</v>
      </c>
      <c r="E608" s="8" t="s">
        <v>8</v>
      </c>
      <c r="F608" s="8" t="s">
        <v>8</v>
      </c>
      <c r="G608" s="94"/>
      <c r="H608" s="95"/>
    </row>
    <row r="609" spans="1:10" ht="15.75" thickBot="1" x14ac:dyDescent="0.3">
      <c r="A609" s="3" t="s">
        <v>24</v>
      </c>
      <c r="B609" s="6">
        <f>G609*56%</f>
        <v>0</v>
      </c>
      <c r="C609" s="6"/>
      <c r="D609" s="6"/>
      <c r="E609" s="8" t="s">
        <v>8</v>
      </c>
      <c r="F609" s="8" t="s">
        <v>8</v>
      </c>
      <c r="G609" s="90"/>
      <c r="H609" s="91"/>
    </row>
    <row r="610" spans="1:10" ht="15.75" thickBot="1" x14ac:dyDescent="0.3">
      <c r="A610" s="4" t="s">
        <v>25</v>
      </c>
      <c r="B610" s="6">
        <f>SUM(B594:B609)</f>
        <v>190449.68000000002</v>
      </c>
      <c r="C610" s="6"/>
      <c r="D610" s="6">
        <f>SUM(D594:D609)</f>
        <v>121067.2</v>
      </c>
      <c r="E610" s="6">
        <f>SUM(E594:E609)</f>
        <v>13936.119999999999</v>
      </c>
      <c r="F610" s="6"/>
      <c r="G610" s="90">
        <f>SUM(G594:H609)</f>
        <v>325453</v>
      </c>
      <c r="H610" s="91"/>
      <c r="J610" s="10">
        <f>325453-G610</f>
        <v>0</v>
      </c>
    </row>
    <row r="611" spans="1:10" x14ac:dyDescent="0.25">
      <c r="A611" s="92" t="s">
        <v>26</v>
      </c>
      <c r="B611" s="92"/>
      <c r="C611" s="92"/>
      <c r="D611" s="92"/>
      <c r="E611" s="92"/>
      <c r="F611" s="92"/>
      <c r="G611" s="92"/>
      <c r="H611" s="92"/>
    </row>
    <row r="612" spans="1:10" x14ac:dyDescent="0.25">
      <c r="A612" s="93" t="s">
        <v>27</v>
      </c>
      <c r="B612" s="93"/>
      <c r="C612" s="93"/>
      <c r="D612" s="93"/>
      <c r="E612" s="93"/>
      <c r="F612" s="93"/>
      <c r="G612" s="93"/>
      <c r="H612" s="93"/>
    </row>
    <row r="613" spans="1:10" x14ac:dyDescent="0.25">
      <c r="A613" s="93" t="s">
        <v>28</v>
      </c>
      <c r="B613" s="93"/>
      <c r="C613" s="93"/>
      <c r="D613" s="93"/>
      <c r="E613" s="93"/>
      <c r="F613" s="93"/>
      <c r="G613" s="93"/>
      <c r="H613" s="93"/>
    </row>
    <row r="614" spans="1:10" x14ac:dyDescent="0.25">
      <c r="A614" s="1"/>
      <c r="B614" s="9"/>
      <c r="C614" s="9"/>
      <c r="D614" s="9"/>
      <c r="E614" s="9"/>
      <c r="F614" s="9"/>
      <c r="G614" s="9"/>
      <c r="H614" s="9"/>
    </row>
    <row r="615" spans="1:10" ht="15.75" x14ac:dyDescent="0.25">
      <c r="A615" s="5"/>
      <c r="B615" s="13" t="s">
        <v>110</v>
      </c>
      <c r="C615" s="13">
        <v>193708</v>
      </c>
    </row>
    <row r="616" spans="1:10" x14ac:dyDescent="0.25">
      <c r="C616" s="10">
        <f>C615-B610</f>
        <v>3258.3199999999779</v>
      </c>
    </row>
    <row r="617" spans="1:10" x14ac:dyDescent="0.25">
      <c r="C617"/>
      <c r="D617"/>
      <c r="E617"/>
      <c r="F617"/>
      <c r="G617"/>
      <c r="H617"/>
    </row>
    <row r="618" spans="1:10" x14ac:dyDescent="0.25">
      <c r="C618"/>
      <c r="D618"/>
      <c r="E618"/>
      <c r="F618"/>
      <c r="G618"/>
      <c r="H618"/>
    </row>
    <row r="619" spans="1:10" x14ac:dyDescent="0.25">
      <c r="C619"/>
      <c r="D619"/>
      <c r="E619"/>
      <c r="F619"/>
      <c r="G619"/>
      <c r="H619"/>
    </row>
    <row r="620" spans="1:10" x14ac:dyDescent="0.25">
      <c r="C620"/>
      <c r="D620"/>
      <c r="E620"/>
      <c r="F620"/>
      <c r="G620"/>
      <c r="H620"/>
    </row>
    <row r="621" spans="1:10" x14ac:dyDescent="0.25">
      <c r="A621" s="85"/>
      <c r="B621" s="86"/>
      <c r="C621" s="86"/>
      <c r="D621" s="86"/>
      <c r="E621" s="112" t="s">
        <v>29</v>
      </c>
      <c r="F621" s="112"/>
      <c r="G621" s="112"/>
      <c r="H621" s="112"/>
    </row>
    <row r="622" spans="1:10" x14ac:dyDescent="0.25">
      <c r="A622" s="113"/>
      <c r="B622" s="114"/>
      <c r="C622" s="114"/>
      <c r="D622" s="115"/>
      <c r="E622" s="115" t="s">
        <v>0</v>
      </c>
      <c r="F622" s="115"/>
      <c r="G622" s="115"/>
      <c r="H622" s="115"/>
    </row>
    <row r="623" spans="1:10" x14ac:dyDescent="0.25">
      <c r="A623" s="113"/>
      <c r="B623" s="114"/>
      <c r="C623" s="114"/>
      <c r="D623" s="115"/>
      <c r="E623" s="126" t="s">
        <v>31</v>
      </c>
      <c r="F623" s="115"/>
      <c r="G623" s="115"/>
      <c r="H623" s="115"/>
    </row>
    <row r="624" spans="1:10" ht="15.75" thickBot="1" x14ac:dyDescent="0.3">
      <c r="A624" s="98" t="s">
        <v>81</v>
      </c>
      <c r="B624" s="98"/>
      <c r="C624" s="98"/>
      <c r="D624" s="98"/>
      <c r="E624" s="98"/>
      <c r="F624" s="98"/>
      <c r="G624" s="99"/>
      <c r="H624" s="99"/>
    </row>
    <row r="625" spans="1:11" x14ac:dyDescent="0.25">
      <c r="A625" s="100" t="s">
        <v>2</v>
      </c>
      <c r="B625" s="103" t="s">
        <v>30</v>
      </c>
      <c r="C625" s="104"/>
      <c r="D625" s="104"/>
      <c r="E625" s="104"/>
      <c r="F625" s="104"/>
      <c r="G625" s="105" t="s">
        <v>3</v>
      </c>
      <c r="H625" s="106"/>
    </row>
    <row r="626" spans="1:11" ht="135.75" thickBot="1" x14ac:dyDescent="0.3">
      <c r="A626" s="124"/>
      <c r="B626" s="105" t="s">
        <v>30</v>
      </c>
      <c r="C626" s="105"/>
      <c r="D626" s="15" t="s">
        <v>32</v>
      </c>
      <c r="E626" s="105" t="s">
        <v>4</v>
      </c>
      <c r="F626" s="105"/>
      <c r="G626" s="125"/>
      <c r="H626" s="109"/>
    </row>
    <row r="627" spans="1:11" ht="165.75" thickBot="1" x14ac:dyDescent="0.3">
      <c r="A627" s="102"/>
      <c r="B627" s="14" t="s">
        <v>36</v>
      </c>
      <c r="C627" s="83" t="s">
        <v>5</v>
      </c>
      <c r="D627" s="15" t="s">
        <v>33</v>
      </c>
      <c r="E627" s="83" t="s">
        <v>34</v>
      </c>
      <c r="F627" s="89" t="s">
        <v>35</v>
      </c>
      <c r="G627" s="110"/>
      <c r="H627" s="111"/>
    </row>
    <row r="628" spans="1:11" ht="15.75" thickBot="1" x14ac:dyDescent="0.3">
      <c r="A628" s="82">
        <v>1</v>
      </c>
      <c r="B628" s="89">
        <v>2</v>
      </c>
      <c r="C628" s="16">
        <v>3</v>
      </c>
      <c r="D628" s="83">
        <v>4</v>
      </c>
      <c r="E628" s="11">
        <v>5</v>
      </c>
      <c r="F628" s="89">
        <v>6</v>
      </c>
      <c r="G628" s="96" t="s">
        <v>37</v>
      </c>
      <c r="H628" s="97"/>
    </row>
    <row r="629" spans="1:11" ht="60.75" thickBot="1" x14ac:dyDescent="0.3">
      <c r="A629" s="2" t="s">
        <v>7</v>
      </c>
      <c r="B629" s="6">
        <f>B630</f>
        <v>81250.8</v>
      </c>
      <c r="C629" s="12"/>
      <c r="D629" s="6">
        <f>D630</f>
        <v>68804.2</v>
      </c>
      <c r="E629" s="8" t="s">
        <v>8</v>
      </c>
      <c r="F629" s="8" t="s">
        <v>8</v>
      </c>
      <c r="G629" s="90">
        <f>153571-1508-2075+67</f>
        <v>150055</v>
      </c>
      <c r="H629" s="91"/>
    </row>
    <row r="630" spans="1:11" ht="15.75" thickBot="1" x14ac:dyDescent="0.3">
      <c r="A630" s="3" t="s">
        <v>9</v>
      </c>
      <c r="B630" s="6">
        <f>G630*76%-32791</f>
        <v>81250.8</v>
      </c>
      <c r="C630" s="12"/>
      <c r="D630" s="84">
        <f>G630-B630</f>
        <v>68804.2</v>
      </c>
      <c r="E630" s="8" t="s">
        <v>8</v>
      </c>
      <c r="F630" s="8" t="s">
        <v>8</v>
      </c>
      <c r="G630" s="90">
        <f>G629</f>
        <v>150055</v>
      </c>
      <c r="H630" s="91"/>
    </row>
    <row r="631" spans="1:11" ht="15.75" thickBot="1" x14ac:dyDescent="0.3">
      <c r="A631" s="2" t="s">
        <v>10</v>
      </c>
      <c r="B631" s="6">
        <v>0</v>
      </c>
      <c r="C631" s="12"/>
      <c r="D631" s="6">
        <v>0</v>
      </c>
      <c r="E631" s="8" t="s">
        <v>8</v>
      </c>
      <c r="F631" s="8" t="s">
        <v>8</v>
      </c>
      <c r="G631" s="90">
        <v>0</v>
      </c>
      <c r="H631" s="91"/>
    </row>
    <row r="632" spans="1:11" ht="60.75" thickBot="1" x14ac:dyDescent="0.3">
      <c r="A632" s="2" t="s">
        <v>11</v>
      </c>
      <c r="B632" s="6">
        <f>G632*76%</f>
        <v>56205.04</v>
      </c>
      <c r="C632" s="12"/>
      <c r="D632" s="84">
        <f>G632-B632</f>
        <v>17748.96</v>
      </c>
      <c r="E632" s="8" t="s">
        <v>8</v>
      </c>
      <c r="F632" s="8" t="s">
        <v>8</v>
      </c>
      <c r="G632" s="90">
        <f>74894-940</f>
        <v>73954</v>
      </c>
      <c r="H632" s="91"/>
    </row>
    <row r="633" spans="1:11" ht="30.75" thickBot="1" x14ac:dyDescent="0.3">
      <c r="A633" s="2" t="s">
        <v>12</v>
      </c>
      <c r="B633" s="6">
        <f>G633*76%</f>
        <v>3437.48</v>
      </c>
      <c r="C633" s="12"/>
      <c r="D633" s="84">
        <f>G633-B633</f>
        <v>1085.52</v>
      </c>
      <c r="E633" s="8" t="s">
        <v>8</v>
      </c>
      <c r="F633" s="8" t="s">
        <v>8</v>
      </c>
      <c r="G633" s="90">
        <f>940+1508+2075</f>
        <v>4523</v>
      </c>
      <c r="H633" s="91"/>
    </row>
    <row r="634" spans="1:11" ht="15.75" thickBot="1" x14ac:dyDescent="0.3">
      <c r="A634" s="2" t="s">
        <v>13</v>
      </c>
      <c r="B634" s="6">
        <f>G634*56%</f>
        <v>9776.4800000000014</v>
      </c>
      <c r="C634" s="6"/>
      <c r="D634" s="84">
        <f>G634-B634</f>
        <v>7681.5199999999986</v>
      </c>
      <c r="E634" s="8" t="s">
        <v>8</v>
      </c>
      <c r="F634" s="8" t="s">
        <v>8</v>
      </c>
      <c r="G634" s="90">
        <v>17458</v>
      </c>
      <c r="H634" s="91"/>
    </row>
    <row r="635" spans="1:11" ht="30.75" hidden="1" thickBot="1" x14ac:dyDescent="0.3">
      <c r="A635" s="2" t="s">
        <v>14</v>
      </c>
      <c r="B635" s="6">
        <f>G635*56%</f>
        <v>6305.6</v>
      </c>
      <c r="C635" s="6"/>
      <c r="D635" s="84">
        <f>G635-B635</f>
        <v>4954.3999999999996</v>
      </c>
      <c r="E635" s="8" t="s">
        <v>8</v>
      </c>
      <c r="F635" s="8" t="s">
        <v>8</v>
      </c>
      <c r="G635" s="90">
        <f>7793+3467</f>
        <v>11260</v>
      </c>
      <c r="H635" s="91"/>
      <c r="I635" s="10">
        <f>G632+G633+G630</f>
        <v>228532</v>
      </c>
    </row>
    <row r="636" spans="1:11" ht="45.75" hidden="1" thickBot="1" x14ac:dyDescent="0.3">
      <c r="A636" s="2" t="s">
        <v>15</v>
      </c>
      <c r="B636" s="8" t="s">
        <v>8</v>
      </c>
      <c r="C636" s="8" t="s">
        <v>8</v>
      </c>
      <c r="D636" s="6"/>
      <c r="E636" s="8" t="s">
        <v>8</v>
      </c>
      <c r="F636" s="8" t="s">
        <v>8</v>
      </c>
      <c r="G636" s="90"/>
      <c r="H636" s="91"/>
    </row>
    <row r="637" spans="1:11" ht="15.75" hidden="1" thickBot="1" x14ac:dyDescent="0.3">
      <c r="A637" s="2" t="s">
        <v>16</v>
      </c>
      <c r="B637" s="8" t="s">
        <v>8</v>
      </c>
      <c r="C637" s="8" t="s">
        <v>8</v>
      </c>
      <c r="D637" s="12"/>
      <c r="E637" s="6">
        <v>0</v>
      </c>
      <c r="F637" s="6"/>
      <c r="G637" s="90">
        <v>0</v>
      </c>
      <c r="H637" s="91"/>
    </row>
    <row r="638" spans="1:11" ht="15.75" hidden="1" thickBot="1" x14ac:dyDescent="0.3">
      <c r="A638" s="3" t="s">
        <v>17</v>
      </c>
      <c r="B638" s="6">
        <f>G638*56%</f>
        <v>0</v>
      </c>
      <c r="C638" s="8"/>
      <c r="D638" s="6"/>
      <c r="E638" s="6">
        <f>G638-B638</f>
        <v>0</v>
      </c>
      <c r="F638" s="6"/>
      <c r="G638" s="90">
        <v>0</v>
      </c>
      <c r="H638" s="91"/>
      <c r="K638" s="10" t="e">
        <f>#REF!+#REF!+#REF!</f>
        <v>#REF!</v>
      </c>
    </row>
    <row r="639" spans="1:11" ht="15.75" hidden="1" thickBot="1" x14ac:dyDescent="0.3">
      <c r="A639" s="3" t="s">
        <v>18</v>
      </c>
      <c r="B639" s="6"/>
      <c r="C639" s="8"/>
      <c r="D639" s="8"/>
      <c r="E639" s="6"/>
      <c r="F639" s="6"/>
      <c r="G639" s="90"/>
      <c r="H639" s="91"/>
      <c r="K639" s="10" t="e">
        <f>251786-K638</f>
        <v>#REF!</v>
      </c>
    </row>
    <row r="640" spans="1:11" ht="45.75" hidden="1" thickBot="1" x14ac:dyDescent="0.3">
      <c r="A640" s="2" t="s">
        <v>19</v>
      </c>
      <c r="B640" s="6"/>
      <c r="C640" s="8"/>
      <c r="D640" s="6"/>
      <c r="E640" s="6"/>
      <c r="F640" s="6"/>
      <c r="G640" s="94"/>
      <c r="H640" s="95"/>
    </row>
    <row r="641" spans="1:10" ht="30.75" thickBot="1" x14ac:dyDescent="0.3">
      <c r="A641" s="2" t="s">
        <v>20</v>
      </c>
      <c r="B641" s="6">
        <f>G641*56%</f>
        <v>19547.920000000002</v>
      </c>
      <c r="C641" s="8"/>
      <c r="D641" s="6"/>
      <c r="E641" s="6">
        <f>G641-B641</f>
        <v>15359.079999999998</v>
      </c>
      <c r="F641" s="6"/>
      <c r="G641" s="90">
        <v>34907</v>
      </c>
      <c r="H641" s="91"/>
    </row>
    <row r="642" spans="1:10" ht="30.75" thickBot="1" x14ac:dyDescent="0.3">
      <c r="A642" s="2" t="s">
        <v>21</v>
      </c>
      <c r="B642" s="6">
        <f>G642*56%</f>
        <v>19666.080000000002</v>
      </c>
      <c r="C642" s="6"/>
      <c r="D642" s="84">
        <f>G642-B642</f>
        <v>15451.919999999998</v>
      </c>
      <c r="E642" s="8" t="s">
        <v>8</v>
      </c>
      <c r="F642" s="8" t="s">
        <v>8</v>
      </c>
      <c r="G642" s="90">
        <f>33303+1574+241</f>
        <v>35118</v>
      </c>
      <c r="H642" s="91"/>
    </row>
    <row r="643" spans="1:10" ht="15.75" thickBot="1" x14ac:dyDescent="0.3">
      <c r="A643" s="3" t="s">
        <v>22</v>
      </c>
      <c r="B643" s="6">
        <f>G643*56%</f>
        <v>19881.68</v>
      </c>
      <c r="C643" s="6"/>
      <c r="D643" s="84">
        <f>G643-B643</f>
        <v>15621.32</v>
      </c>
      <c r="E643" s="8" t="s">
        <v>8</v>
      </c>
      <c r="F643" s="8" t="s">
        <v>8</v>
      </c>
      <c r="G643" s="90">
        <f>128+16349+10+3696+15320</f>
        <v>35503</v>
      </c>
      <c r="H643" s="91"/>
    </row>
    <row r="644" spans="1:10" ht="15.75" thickBot="1" x14ac:dyDescent="0.3">
      <c r="A644" s="3" t="s">
        <v>23</v>
      </c>
      <c r="B644" s="8" t="s">
        <v>8</v>
      </c>
      <c r="C644" s="12"/>
      <c r="D644" s="8" t="s">
        <v>8</v>
      </c>
      <c r="E644" s="8" t="s">
        <v>8</v>
      </c>
      <c r="F644" s="8" t="s">
        <v>8</v>
      </c>
      <c r="G644" s="94"/>
      <c r="H644" s="95"/>
    </row>
    <row r="645" spans="1:10" ht="15.75" thickBot="1" x14ac:dyDescent="0.3">
      <c r="A645" s="3" t="s">
        <v>24</v>
      </c>
      <c r="B645" s="6">
        <f>G645*56%</f>
        <v>0</v>
      </c>
      <c r="C645" s="6"/>
      <c r="D645" s="6"/>
      <c r="E645" s="8" t="s">
        <v>8</v>
      </c>
      <c r="F645" s="8" t="s">
        <v>8</v>
      </c>
      <c r="G645" s="90"/>
      <c r="H645" s="91"/>
    </row>
    <row r="646" spans="1:10" ht="15.75" thickBot="1" x14ac:dyDescent="0.3">
      <c r="A646" s="4" t="s">
        <v>25</v>
      </c>
      <c r="B646" s="6">
        <f>SUM(B630:B645)</f>
        <v>216071.08000000002</v>
      </c>
      <c r="C646" s="6"/>
      <c r="D646" s="6">
        <f>SUM(D630:D645)</f>
        <v>131347.84</v>
      </c>
      <c r="E646" s="6">
        <f>SUM(E630:E645)</f>
        <v>15359.079999999998</v>
      </c>
      <c r="F646" s="6"/>
      <c r="G646" s="90">
        <f>SUM(G630:H645)</f>
        <v>362778</v>
      </c>
      <c r="H646" s="91"/>
      <c r="J646" s="10"/>
    </row>
    <row r="647" spans="1:10" x14ac:dyDescent="0.25">
      <c r="A647" s="92" t="s">
        <v>26</v>
      </c>
      <c r="B647" s="92"/>
      <c r="C647" s="92"/>
      <c r="D647" s="92"/>
      <c r="E647" s="92"/>
      <c r="F647" s="92"/>
      <c r="G647" s="92"/>
      <c r="H647" s="92"/>
    </row>
    <row r="648" spans="1:10" x14ac:dyDescent="0.25">
      <c r="A648" s="93" t="s">
        <v>27</v>
      </c>
      <c r="B648" s="93"/>
      <c r="C648" s="93"/>
      <c r="D648" s="93"/>
      <c r="E648" s="93"/>
      <c r="F648" s="93"/>
      <c r="G648" s="93"/>
      <c r="H648" s="93"/>
    </row>
    <row r="649" spans="1:10" x14ac:dyDescent="0.25">
      <c r="A649" s="93" t="s">
        <v>28</v>
      </c>
      <c r="B649" s="93"/>
      <c r="C649" s="93"/>
      <c r="D649" s="93"/>
      <c r="E649" s="93"/>
      <c r="F649" s="93"/>
      <c r="G649" s="93"/>
      <c r="H649" s="93"/>
    </row>
    <row r="650" spans="1:10" x14ac:dyDescent="0.25">
      <c r="A650" s="1"/>
      <c r="B650" s="9"/>
      <c r="C650" s="9"/>
      <c r="D650" s="9"/>
      <c r="E650" s="9"/>
      <c r="F650" s="9"/>
      <c r="G650" s="9"/>
      <c r="H650" s="9"/>
    </row>
    <row r="651" spans="1:10" ht="15.75" x14ac:dyDescent="0.25">
      <c r="A651" s="5"/>
      <c r="B651" s="13" t="s">
        <v>139</v>
      </c>
      <c r="C651" s="13">
        <v>213073</v>
      </c>
    </row>
    <row r="652" spans="1:10" x14ac:dyDescent="0.25">
      <c r="C652" s="10">
        <f>C651-B646</f>
        <v>-2998.0800000000163</v>
      </c>
    </row>
    <row r="653" spans="1:10" x14ac:dyDescent="0.25">
      <c r="C653"/>
      <c r="D653"/>
      <c r="E653"/>
      <c r="F653"/>
      <c r="G653"/>
      <c r="H653"/>
    </row>
    <row r="654" spans="1:10" x14ac:dyDescent="0.25">
      <c r="C654"/>
      <c r="D654"/>
      <c r="E654"/>
      <c r="F654"/>
      <c r="G654"/>
      <c r="H654"/>
    </row>
    <row r="655" spans="1:10" x14ac:dyDescent="0.25">
      <c r="C655"/>
      <c r="D655"/>
      <c r="E655"/>
      <c r="F655"/>
      <c r="G655"/>
      <c r="H655"/>
    </row>
    <row r="656" spans="1:10" ht="15.75" thickBot="1" x14ac:dyDescent="0.3">
      <c r="C656"/>
      <c r="D656"/>
      <c r="E656"/>
      <c r="F656"/>
      <c r="G656"/>
      <c r="H656"/>
    </row>
    <row r="657" spans="1:11" ht="15.75" hidden="1" thickBot="1" x14ac:dyDescent="0.3">
      <c r="C657"/>
      <c r="D657"/>
      <c r="E657"/>
      <c r="F657"/>
      <c r="G657"/>
      <c r="H657"/>
    </row>
    <row r="658" spans="1:11" ht="15.75" hidden="1" thickBot="1" x14ac:dyDescent="0.3">
      <c r="C658"/>
      <c r="D658"/>
      <c r="E658"/>
      <c r="F658"/>
      <c r="G658"/>
      <c r="H658"/>
    </row>
    <row r="659" spans="1:11" ht="15.75" hidden="1" thickBot="1" x14ac:dyDescent="0.3">
      <c r="C659"/>
      <c r="D659"/>
      <c r="E659"/>
      <c r="F659"/>
      <c r="G659"/>
      <c r="H659"/>
      <c r="K659" s="10">
        <f>G688-G683</f>
        <v>387335</v>
      </c>
    </row>
    <row r="660" spans="1:11" ht="15.75" hidden="1" thickBot="1" x14ac:dyDescent="0.3">
      <c r="C660"/>
      <c r="D660"/>
      <c r="E660"/>
      <c r="F660"/>
      <c r="G660"/>
      <c r="H660"/>
      <c r="K660" s="10">
        <f>K659-371770</f>
        <v>15565</v>
      </c>
    </row>
    <row r="661" spans="1:11" ht="15.75" hidden="1" thickBot="1" x14ac:dyDescent="0.3">
      <c r="C661"/>
      <c r="D661"/>
      <c r="E661"/>
      <c r="F661"/>
      <c r="G661"/>
      <c r="H661"/>
    </row>
    <row r="662" spans="1:11" ht="15.75" hidden="1" thickBot="1" x14ac:dyDescent="0.3">
      <c r="C662"/>
      <c r="D662"/>
      <c r="E662"/>
      <c r="F662"/>
      <c r="G662"/>
      <c r="H662"/>
    </row>
    <row r="663" spans="1:11" ht="15.75" hidden="1" thickBot="1" x14ac:dyDescent="0.3">
      <c r="A663" s="85"/>
      <c r="B663" s="86"/>
      <c r="C663" s="86"/>
      <c r="D663" s="86"/>
      <c r="E663" s="112" t="s">
        <v>29</v>
      </c>
      <c r="F663" s="112"/>
      <c r="G663" s="112"/>
      <c r="H663" s="112"/>
    </row>
    <row r="664" spans="1:11" ht="15.75" hidden="1" thickBot="1" x14ac:dyDescent="0.3">
      <c r="A664" s="113"/>
      <c r="B664" s="114"/>
      <c r="C664" s="114"/>
      <c r="D664" s="115"/>
      <c r="E664" s="115" t="s">
        <v>0</v>
      </c>
      <c r="F664" s="115"/>
      <c r="G664" s="115"/>
      <c r="H664" s="115"/>
    </row>
    <row r="665" spans="1:11" ht="15.75" hidden="1" thickBot="1" x14ac:dyDescent="0.3">
      <c r="A665" s="113"/>
      <c r="B665" s="114"/>
      <c r="C665" s="114"/>
      <c r="D665" s="115"/>
      <c r="E665" s="126" t="s">
        <v>31</v>
      </c>
      <c r="F665" s="115"/>
      <c r="G665" s="115"/>
      <c r="H665" s="115"/>
    </row>
    <row r="666" spans="1:11" ht="15.75" hidden="1" thickBot="1" x14ac:dyDescent="0.3">
      <c r="A666" s="98" t="s">
        <v>51</v>
      </c>
      <c r="B666" s="98"/>
      <c r="C666" s="98"/>
      <c r="D666" s="98"/>
      <c r="E666" s="98"/>
      <c r="F666" s="98"/>
      <c r="G666" s="99"/>
      <c r="H666" s="99"/>
    </row>
    <row r="667" spans="1:11" ht="15.75" hidden="1" thickBot="1" x14ac:dyDescent="0.3">
      <c r="A667" s="100" t="s">
        <v>2</v>
      </c>
      <c r="B667" s="103" t="s">
        <v>30</v>
      </c>
      <c r="C667" s="104"/>
      <c r="D667" s="104"/>
      <c r="E667" s="104"/>
      <c r="F667" s="104"/>
      <c r="G667" s="105" t="s">
        <v>3</v>
      </c>
      <c r="H667" s="106"/>
    </row>
    <row r="668" spans="1:11" ht="135.75" hidden="1" thickBot="1" x14ac:dyDescent="0.3">
      <c r="A668" s="124"/>
      <c r="B668" s="105" t="s">
        <v>30</v>
      </c>
      <c r="C668" s="105"/>
      <c r="D668" s="15" t="s">
        <v>32</v>
      </c>
      <c r="E668" s="105" t="s">
        <v>4</v>
      </c>
      <c r="F668" s="105"/>
      <c r="G668" s="125"/>
      <c r="H668" s="109"/>
    </row>
    <row r="669" spans="1:11" ht="165.75" hidden="1" thickBot="1" x14ac:dyDescent="0.3">
      <c r="A669" s="102"/>
      <c r="B669" s="14" t="s">
        <v>36</v>
      </c>
      <c r="C669" s="83" t="s">
        <v>5</v>
      </c>
      <c r="D669" s="15" t="s">
        <v>33</v>
      </c>
      <c r="E669" s="83" t="s">
        <v>34</v>
      </c>
      <c r="F669" s="89" t="s">
        <v>35</v>
      </c>
      <c r="G669" s="110"/>
      <c r="H669" s="111"/>
    </row>
    <row r="670" spans="1:11" ht="15.75" hidden="1" thickBot="1" x14ac:dyDescent="0.3">
      <c r="A670" s="82">
        <v>1</v>
      </c>
      <c r="B670" s="89">
        <v>2</v>
      </c>
      <c r="C670" s="16">
        <v>3</v>
      </c>
      <c r="D670" s="83">
        <v>4</v>
      </c>
      <c r="E670" s="11">
        <v>5</v>
      </c>
      <c r="F670" s="89">
        <v>6</v>
      </c>
      <c r="G670" s="96" t="s">
        <v>37</v>
      </c>
      <c r="H670" s="97"/>
    </row>
    <row r="671" spans="1:11" ht="57.75" hidden="1" customHeight="1" x14ac:dyDescent="0.25">
      <c r="A671" s="2" t="s">
        <v>7</v>
      </c>
      <c r="B671" s="6">
        <f>B672</f>
        <v>129144.52</v>
      </c>
      <c r="C671" s="12"/>
      <c r="D671" s="6">
        <f>D672</f>
        <v>40782.479999999996</v>
      </c>
      <c r="E671" s="8" t="s">
        <v>8</v>
      </c>
      <c r="F671" s="8" t="s">
        <v>8</v>
      </c>
      <c r="G671" s="90">
        <f>174390-4529+66</f>
        <v>169927</v>
      </c>
      <c r="H671" s="91"/>
    </row>
    <row r="672" spans="1:11" ht="15.75" hidden="1" thickBot="1" x14ac:dyDescent="0.3">
      <c r="A672" s="3" t="s">
        <v>9</v>
      </c>
      <c r="B672" s="6">
        <f>G672*76%</f>
        <v>129144.52</v>
      </c>
      <c r="C672" s="12"/>
      <c r="D672" s="84">
        <f>G672-B672</f>
        <v>40782.479999999996</v>
      </c>
      <c r="E672" s="8" t="s">
        <v>8</v>
      </c>
      <c r="F672" s="8" t="s">
        <v>8</v>
      </c>
      <c r="G672" s="90">
        <f>G671</f>
        <v>169927</v>
      </c>
      <c r="H672" s="91"/>
      <c r="I672">
        <f>G672/K676</f>
        <v>0.67488929046607227</v>
      </c>
    </row>
    <row r="673" spans="1:11" ht="15.75" hidden="1" thickBot="1" x14ac:dyDescent="0.3">
      <c r="A673" s="2" t="s">
        <v>10</v>
      </c>
      <c r="B673" s="6">
        <v>0</v>
      </c>
      <c r="C673" s="12"/>
      <c r="D673" s="6">
        <v>0</v>
      </c>
      <c r="E673" s="8" t="s">
        <v>8</v>
      </c>
      <c r="F673" s="8" t="s">
        <v>8</v>
      </c>
      <c r="G673" s="90">
        <v>0</v>
      </c>
      <c r="H673" s="91"/>
    </row>
    <row r="674" spans="1:11" ht="60.75" hidden="1" thickBot="1" x14ac:dyDescent="0.3">
      <c r="A674" s="2" t="s">
        <v>11</v>
      </c>
      <c r="B674" s="6">
        <f>G674*76%</f>
        <v>57890.720000000001</v>
      </c>
      <c r="C674" s="12"/>
      <c r="D674" s="84">
        <f>G674-B674</f>
        <v>18281.28</v>
      </c>
      <c r="E674" s="8" t="s">
        <v>8</v>
      </c>
      <c r="F674" s="8" t="s">
        <v>8</v>
      </c>
      <c r="G674" s="90">
        <f>77329-1157</f>
        <v>76172</v>
      </c>
      <c r="H674" s="91"/>
      <c r="I674">
        <f>G674/K676</f>
        <v>0.30252795043390196</v>
      </c>
    </row>
    <row r="675" spans="1:11" ht="30.75" hidden="1" thickBot="1" x14ac:dyDescent="0.3">
      <c r="A675" s="2" t="s">
        <v>12</v>
      </c>
      <c r="B675" s="6">
        <f>G675*76%</f>
        <v>4321.3599999999997</v>
      </c>
      <c r="C675" s="12"/>
      <c r="D675" s="84">
        <f>G675-B675</f>
        <v>1364.6400000000003</v>
      </c>
      <c r="E675" s="8" t="s">
        <v>8</v>
      </c>
      <c r="F675" s="8" t="s">
        <v>8</v>
      </c>
      <c r="G675" s="90">
        <v>5686</v>
      </c>
      <c r="H675" s="91"/>
      <c r="I675">
        <f>G675/K676</f>
        <v>2.2582759100025815E-2</v>
      </c>
    </row>
    <row r="676" spans="1:11" ht="15.75" hidden="1" thickBot="1" x14ac:dyDescent="0.3">
      <c r="A676" s="2" t="s">
        <v>13</v>
      </c>
      <c r="B676" s="6">
        <f>G676*56%</f>
        <v>14558.880000000001</v>
      </c>
      <c r="C676" s="6"/>
      <c r="D676" s="84">
        <f>G676-B676</f>
        <v>11439.119999999999</v>
      </c>
      <c r="E676" s="8" t="s">
        <v>8</v>
      </c>
      <c r="F676" s="8" t="s">
        <v>8</v>
      </c>
      <c r="G676" s="90">
        <v>25998</v>
      </c>
      <c r="H676" s="91"/>
      <c r="J676" s="10">
        <f>G675+G674+G672</f>
        <v>251785</v>
      </c>
      <c r="K676" s="10">
        <f>G671+G674+G675</f>
        <v>251785</v>
      </c>
    </row>
    <row r="677" spans="1:11" ht="30.75" hidden="1" thickBot="1" x14ac:dyDescent="0.3">
      <c r="A677" s="2" t="s">
        <v>14</v>
      </c>
      <c r="B677" s="6">
        <f>G677*56%</f>
        <v>12036.080000000002</v>
      </c>
      <c r="C677" s="6"/>
      <c r="D677" s="84">
        <f>G677-B677</f>
        <v>9456.9199999999983</v>
      </c>
      <c r="E677" s="8" t="s">
        <v>8</v>
      </c>
      <c r="F677" s="8" t="s">
        <v>8</v>
      </c>
      <c r="G677" s="90">
        <f>13939+7554</f>
        <v>21493</v>
      </c>
      <c r="H677" s="91"/>
    </row>
    <row r="678" spans="1:11" ht="45.75" hidden="1" thickBot="1" x14ac:dyDescent="0.3">
      <c r="A678" s="2" t="s">
        <v>15</v>
      </c>
      <c r="B678" s="8" t="s">
        <v>8</v>
      </c>
      <c r="C678" s="8" t="s">
        <v>8</v>
      </c>
      <c r="D678" s="6"/>
      <c r="E678" s="8" t="s">
        <v>8</v>
      </c>
      <c r="F678" s="8" t="s">
        <v>8</v>
      </c>
      <c r="G678" s="90"/>
      <c r="H678" s="91"/>
    </row>
    <row r="679" spans="1:11" ht="15.75" hidden="1" thickBot="1" x14ac:dyDescent="0.3">
      <c r="A679" s="2" t="s">
        <v>16</v>
      </c>
      <c r="B679" s="8" t="s">
        <v>8</v>
      </c>
      <c r="C679" s="8" t="s">
        <v>8</v>
      </c>
      <c r="D679" s="12"/>
      <c r="E679" s="6">
        <v>0</v>
      </c>
      <c r="F679" s="6"/>
      <c r="G679" s="90">
        <v>0</v>
      </c>
      <c r="H679" s="91"/>
    </row>
    <row r="680" spans="1:11" ht="15.75" hidden="1" thickBot="1" x14ac:dyDescent="0.3">
      <c r="A680" s="3" t="s">
        <v>17</v>
      </c>
      <c r="B680" s="6">
        <f>G680*56%</f>
        <v>0</v>
      </c>
      <c r="C680" s="8"/>
      <c r="D680" s="6"/>
      <c r="E680" s="6">
        <f>G680-B680</f>
        <v>0</v>
      </c>
      <c r="F680" s="6"/>
      <c r="G680" s="90">
        <v>0</v>
      </c>
      <c r="H680" s="91"/>
    </row>
    <row r="681" spans="1:11" ht="15.75" hidden="1" thickBot="1" x14ac:dyDescent="0.3">
      <c r="A681" s="3" t="s">
        <v>18</v>
      </c>
      <c r="B681" s="6"/>
      <c r="C681" s="8"/>
      <c r="D681" s="8"/>
      <c r="E681" s="6"/>
      <c r="F681" s="6"/>
      <c r="G681" s="90"/>
      <c r="H681" s="91"/>
    </row>
    <row r="682" spans="1:11" ht="45.75" hidden="1" thickBot="1" x14ac:dyDescent="0.3">
      <c r="A682" s="2" t="s">
        <v>19</v>
      </c>
      <c r="B682" s="6"/>
      <c r="C682" s="8"/>
      <c r="D682" s="6"/>
      <c r="E682" s="6"/>
      <c r="F682" s="6"/>
      <c r="G682" s="94"/>
      <c r="H682" s="95"/>
    </row>
    <row r="683" spans="1:11" ht="30.75" thickBot="1" x14ac:dyDescent="0.3">
      <c r="A683" s="2" t="s">
        <v>20</v>
      </c>
      <c r="B683" s="6"/>
      <c r="C683" s="8"/>
      <c r="D683" s="6"/>
      <c r="E683" s="6">
        <f>G683-B683</f>
        <v>38142</v>
      </c>
      <c r="F683" s="6"/>
      <c r="G683" s="90">
        <v>38142</v>
      </c>
      <c r="H683" s="91"/>
    </row>
    <row r="684" spans="1:11" ht="30.75" thickBot="1" x14ac:dyDescent="0.3">
      <c r="A684" s="2" t="s">
        <v>21</v>
      </c>
      <c r="B684" s="6">
        <f>G684*56%-10000</f>
        <v>12850.800000000003</v>
      </c>
      <c r="C684" s="6"/>
      <c r="D684" s="84">
        <f>G684-B684</f>
        <v>27954.199999999997</v>
      </c>
      <c r="E684" s="8" t="s">
        <v>8</v>
      </c>
      <c r="F684" s="8" t="s">
        <v>8</v>
      </c>
      <c r="G684" s="90">
        <f>38990+241+1574</f>
        <v>40805</v>
      </c>
      <c r="H684" s="91"/>
    </row>
    <row r="685" spans="1:11" ht="15.75" thickBot="1" x14ac:dyDescent="0.3">
      <c r="A685" s="3" t="s">
        <v>22</v>
      </c>
      <c r="B685" s="6">
        <f>G685*56%-15144</f>
        <v>11318.240000000002</v>
      </c>
      <c r="C685" s="6"/>
      <c r="D685" s="84">
        <f>G685-B685</f>
        <v>35935.759999999995</v>
      </c>
      <c r="E685" s="8" t="s">
        <v>8</v>
      </c>
      <c r="F685" s="8" t="s">
        <v>8</v>
      </c>
      <c r="G685" s="90">
        <f>15320+133+10125+17927+3739+10</f>
        <v>47254</v>
      </c>
      <c r="H685" s="91"/>
      <c r="J685">
        <v>40435</v>
      </c>
    </row>
    <row r="686" spans="1:11" ht="15.75" thickBot="1" x14ac:dyDescent="0.3">
      <c r="A686" s="3" t="s">
        <v>23</v>
      </c>
      <c r="B686" s="8" t="s">
        <v>8</v>
      </c>
      <c r="C686" s="12"/>
      <c r="D686" s="8" t="s">
        <v>8</v>
      </c>
      <c r="E686" s="8" t="s">
        <v>8</v>
      </c>
      <c r="F686" s="8" t="s">
        <v>8</v>
      </c>
      <c r="G686" s="94"/>
      <c r="H686" s="95"/>
    </row>
    <row r="687" spans="1:11" ht="15.75" thickBot="1" x14ac:dyDescent="0.3">
      <c r="A687" s="3" t="s">
        <v>24</v>
      </c>
      <c r="B687" s="6">
        <f>G687*56%</f>
        <v>0</v>
      </c>
      <c r="C687" s="6"/>
      <c r="D687" s="6"/>
      <c r="E687" s="8" t="s">
        <v>8</v>
      </c>
      <c r="F687" s="8" t="s">
        <v>8</v>
      </c>
      <c r="G687" s="90"/>
      <c r="H687" s="91"/>
    </row>
    <row r="688" spans="1:11" ht="15.75" thickBot="1" x14ac:dyDescent="0.3">
      <c r="A688" s="4" t="s">
        <v>25</v>
      </c>
      <c r="B688" s="6">
        <f>SUM(B672:B687)</f>
        <v>242120.59999999998</v>
      </c>
      <c r="C688" s="6"/>
      <c r="D688" s="6">
        <f>SUM(D672:D687)</f>
        <v>145214.39999999997</v>
      </c>
      <c r="E688" s="6">
        <f>SUM(E672:E687)</f>
        <v>38142</v>
      </c>
      <c r="F688" s="6"/>
      <c r="G688" s="90">
        <f>SUM(G672:H687)</f>
        <v>425477</v>
      </c>
      <c r="H688" s="91"/>
      <c r="J688" s="10">
        <f>425477-G688</f>
        <v>0</v>
      </c>
    </row>
    <row r="689" spans="1:8" x14ac:dyDescent="0.25">
      <c r="A689" s="92" t="s">
        <v>26</v>
      </c>
      <c r="B689" s="92"/>
      <c r="C689" s="92"/>
      <c r="D689" s="92"/>
      <c r="E689" s="92"/>
      <c r="F689" s="92"/>
      <c r="G689" s="92"/>
      <c r="H689" s="92"/>
    </row>
    <row r="690" spans="1:8" x14ac:dyDescent="0.25">
      <c r="A690" s="93" t="s">
        <v>27</v>
      </c>
      <c r="B690" s="93"/>
      <c r="C690" s="93"/>
      <c r="D690" s="93"/>
      <c r="E690" s="93"/>
      <c r="F690" s="93"/>
      <c r="G690" s="93"/>
      <c r="H690" s="93"/>
    </row>
    <row r="691" spans="1:8" x14ac:dyDescent="0.25">
      <c r="A691" s="93" t="s">
        <v>28</v>
      </c>
      <c r="B691" s="93"/>
      <c r="C691" s="93"/>
      <c r="D691" s="93"/>
      <c r="E691" s="93"/>
      <c r="F691" s="93"/>
      <c r="G691" s="93"/>
      <c r="H691" s="93"/>
    </row>
    <row r="692" spans="1:8" x14ac:dyDescent="0.25">
      <c r="A692" s="1"/>
      <c r="B692" s="9"/>
      <c r="C692" s="9"/>
      <c r="D692" s="9"/>
      <c r="E692" s="9"/>
      <c r="F692" s="9"/>
      <c r="G692" s="9"/>
      <c r="H692" s="9"/>
    </row>
    <row r="693" spans="1:8" ht="15.75" x14ac:dyDescent="0.25">
      <c r="A693" s="5"/>
      <c r="B693" s="13" t="s">
        <v>140</v>
      </c>
      <c r="C693" s="13">
        <v>233404</v>
      </c>
    </row>
    <row r="695" spans="1:8" x14ac:dyDescent="0.25">
      <c r="B695" s="10">
        <f>233404-B688</f>
        <v>-8716.5999999999767</v>
      </c>
      <c r="C695"/>
      <c r="D695"/>
      <c r="E695"/>
      <c r="F695"/>
      <c r="G695"/>
      <c r="H695"/>
    </row>
    <row r="696" spans="1:8" x14ac:dyDescent="0.25">
      <c r="C696"/>
      <c r="D696"/>
      <c r="E696"/>
      <c r="F696"/>
      <c r="G696"/>
      <c r="H696"/>
    </row>
    <row r="697" spans="1:8" x14ac:dyDescent="0.25">
      <c r="C697"/>
      <c r="D697"/>
      <c r="E697"/>
      <c r="F697"/>
      <c r="G697"/>
      <c r="H697"/>
    </row>
    <row r="698" spans="1:8" x14ac:dyDescent="0.25">
      <c r="C698"/>
      <c r="D698"/>
      <c r="E698"/>
      <c r="F698"/>
      <c r="G698"/>
      <c r="H698"/>
    </row>
    <row r="699" spans="1:8" x14ac:dyDescent="0.25">
      <c r="B699"/>
      <c r="C699"/>
      <c r="D699"/>
      <c r="E699"/>
      <c r="F699"/>
      <c r="G699"/>
      <c r="H699"/>
    </row>
    <row r="700" spans="1:8" x14ac:dyDescent="0.25">
      <c r="B700"/>
      <c r="C700"/>
      <c r="D700"/>
      <c r="E700"/>
      <c r="F700"/>
      <c r="G700"/>
      <c r="H700"/>
    </row>
    <row r="701" spans="1:8" x14ac:dyDescent="0.25">
      <c r="B701"/>
      <c r="C701"/>
      <c r="D701"/>
      <c r="E701"/>
      <c r="F701"/>
      <c r="G701"/>
      <c r="H701"/>
    </row>
    <row r="702" spans="1:8" x14ac:dyDescent="0.25">
      <c r="B702"/>
      <c r="C702"/>
      <c r="D702"/>
      <c r="E702"/>
      <c r="F702"/>
      <c r="G702"/>
      <c r="H702"/>
    </row>
    <row r="703" spans="1:8" x14ac:dyDescent="0.25">
      <c r="B703"/>
      <c r="C703"/>
      <c r="D703"/>
      <c r="E703"/>
      <c r="F703"/>
      <c r="G703"/>
      <c r="H703"/>
    </row>
    <row r="704" spans="1:8" x14ac:dyDescent="0.25">
      <c r="B704"/>
      <c r="C704"/>
      <c r="D704"/>
      <c r="E704"/>
      <c r="F704"/>
      <c r="G704"/>
      <c r="H704"/>
    </row>
    <row r="705" spans="2:8" x14ac:dyDescent="0.25">
      <c r="B705"/>
      <c r="C705"/>
      <c r="D705"/>
      <c r="E705"/>
      <c r="F705"/>
      <c r="G705"/>
      <c r="H705"/>
    </row>
  </sheetData>
  <mergeCells count="707">
    <mergeCell ref="E2:H2"/>
    <mergeCell ref="A3:A4"/>
    <mergeCell ref="B3:B4"/>
    <mergeCell ref="C3:C4"/>
    <mergeCell ref="D3:D4"/>
    <mergeCell ref="E3:H3"/>
    <mergeCell ref="E4:H4"/>
    <mergeCell ref="G9:H9"/>
    <mergeCell ref="G10:H10"/>
    <mergeCell ref="G11:H11"/>
    <mergeCell ref="G12:H12"/>
    <mergeCell ref="G13:H13"/>
    <mergeCell ref="G14:H14"/>
    <mergeCell ref="A5:H5"/>
    <mergeCell ref="A6:A8"/>
    <mergeCell ref="B6:F6"/>
    <mergeCell ref="G6:H6"/>
    <mergeCell ref="B7:C7"/>
    <mergeCell ref="E7:F7"/>
    <mergeCell ref="G7:H7"/>
    <mergeCell ref="G8:H8"/>
    <mergeCell ref="G21:H21"/>
    <mergeCell ref="G22:H22"/>
    <mergeCell ref="G23:H23"/>
    <mergeCell ref="G24:H24"/>
    <mergeCell ref="G25:H25"/>
    <mergeCell ref="G26:H26"/>
    <mergeCell ref="G15:H15"/>
    <mergeCell ref="G16:H16"/>
    <mergeCell ref="G17:H17"/>
    <mergeCell ref="G18:H18"/>
    <mergeCell ref="G19:H19"/>
    <mergeCell ref="G20:H20"/>
    <mergeCell ref="G27:H27"/>
    <mergeCell ref="A28:H28"/>
    <mergeCell ref="A29:H29"/>
    <mergeCell ref="A30:H30"/>
    <mergeCell ref="E38:H38"/>
    <mergeCell ref="A39:A40"/>
    <mergeCell ref="B39:B40"/>
    <mergeCell ref="C39:C40"/>
    <mergeCell ref="D39:D40"/>
    <mergeCell ref="E39:H39"/>
    <mergeCell ref="G45:H45"/>
    <mergeCell ref="G46:H46"/>
    <mergeCell ref="G47:H47"/>
    <mergeCell ref="G48:H48"/>
    <mergeCell ref="G49:H49"/>
    <mergeCell ref="G50:H50"/>
    <mergeCell ref="E40:H40"/>
    <mergeCell ref="A41:H41"/>
    <mergeCell ref="A42:A44"/>
    <mergeCell ref="B42:F42"/>
    <mergeCell ref="G42:H42"/>
    <mergeCell ref="B43:C43"/>
    <mergeCell ref="E43:F43"/>
    <mergeCell ref="G43:H43"/>
    <mergeCell ref="G44:H44"/>
    <mergeCell ref="G57:H57"/>
    <mergeCell ref="G58:H58"/>
    <mergeCell ref="G59:H59"/>
    <mergeCell ref="G60:H60"/>
    <mergeCell ref="G61:H61"/>
    <mergeCell ref="G62:H62"/>
    <mergeCell ref="G51:H51"/>
    <mergeCell ref="G52:H52"/>
    <mergeCell ref="G53:H53"/>
    <mergeCell ref="G54:H54"/>
    <mergeCell ref="G55:H55"/>
    <mergeCell ref="G56:H56"/>
    <mergeCell ref="G63:H63"/>
    <mergeCell ref="A64:H64"/>
    <mergeCell ref="A65:H65"/>
    <mergeCell ref="A66:H66"/>
    <mergeCell ref="E76:H76"/>
    <mergeCell ref="A77:A78"/>
    <mergeCell ref="B77:B78"/>
    <mergeCell ref="C77:C78"/>
    <mergeCell ref="D77:D78"/>
    <mergeCell ref="E77:H77"/>
    <mergeCell ref="G83:H83"/>
    <mergeCell ref="G84:H84"/>
    <mergeCell ref="G85:H85"/>
    <mergeCell ref="G86:H86"/>
    <mergeCell ref="G87:H87"/>
    <mergeCell ref="G88:H88"/>
    <mergeCell ref="E78:H78"/>
    <mergeCell ref="A79:H79"/>
    <mergeCell ref="A80:A82"/>
    <mergeCell ref="B80:F80"/>
    <mergeCell ref="G80:H80"/>
    <mergeCell ref="B81:C81"/>
    <mergeCell ref="E81:F81"/>
    <mergeCell ref="G81:H81"/>
    <mergeCell ref="G82:H82"/>
    <mergeCell ref="G95:H95"/>
    <mergeCell ref="G96:H96"/>
    <mergeCell ref="G97:H97"/>
    <mergeCell ref="G98:H98"/>
    <mergeCell ref="G99:H99"/>
    <mergeCell ref="G100:H100"/>
    <mergeCell ref="G89:H89"/>
    <mergeCell ref="G90:H90"/>
    <mergeCell ref="G91:H91"/>
    <mergeCell ref="G92:H92"/>
    <mergeCell ref="G93:H93"/>
    <mergeCell ref="G94:H94"/>
    <mergeCell ref="G101:H101"/>
    <mergeCell ref="A102:H102"/>
    <mergeCell ref="A103:H103"/>
    <mergeCell ref="A104:H104"/>
    <mergeCell ref="E120:H120"/>
    <mergeCell ref="A121:A122"/>
    <mergeCell ref="B121:B122"/>
    <mergeCell ref="C121:C122"/>
    <mergeCell ref="D121:D122"/>
    <mergeCell ref="E121:H121"/>
    <mergeCell ref="G127:H127"/>
    <mergeCell ref="G128:H128"/>
    <mergeCell ref="G129:H129"/>
    <mergeCell ref="G130:H130"/>
    <mergeCell ref="G131:H131"/>
    <mergeCell ref="G132:H132"/>
    <mergeCell ref="E122:H122"/>
    <mergeCell ref="A123:H123"/>
    <mergeCell ref="A124:A126"/>
    <mergeCell ref="B124:F124"/>
    <mergeCell ref="G124:H124"/>
    <mergeCell ref="B125:C125"/>
    <mergeCell ref="E125:F125"/>
    <mergeCell ref="G125:H125"/>
    <mergeCell ref="G126:H126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45:H145"/>
    <mergeCell ref="A146:H146"/>
    <mergeCell ref="A147:H147"/>
    <mergeCell ref="A148:H148"/>
    <mergeCell ref="E155:H155"/>
    <mergeCell ref="A156:A157"/>
    <mergeCell ref="B156:B157"/>
    <mergeCell ref="C156:C157"/>
    <mergeCell ref="D156:D157"/>
    <mergeCell ref="E156:H156"/>
    <mergeCell ref="G162:H162"/>
    <mergeCell ref="G163:H163"/>
    <mergeCell ref="G164:H164"/>
    <mergeCell ref="G165:H165"/>
    <mergeCell ref="G166:H166"/>
    <mergeCell ref="G167:H167"/>
    <mergeCell ref="E157:H157"/>
    <mergeCell ref="A158:H158"/>
    <mergeCell ref="A159:A161"/>
    <mergeCell ref="B159:F159"/>
    <mergeCell ref="G159:H159"/>
    <mergeCell ref="B160:C160"/>
    <mergeCell ref="E160:F160"/>
    <mergeCell ref="G160:H160"/>
    <mergeCell ref="G161:H161"/>
    <mergeCell ref="G174:H174"/>
    <mergeCell ref="G175:H175"/>
    <mergeCell ref="G176:H176"/>
    <mergeCell ref="G177:H177"/>
    <mergeCell ref="G178:H178"/>
    <mergeCell ref="G179:H179"/>
    <mergeCell ref="G168:H168"/>
    <mergeCell ref="G169:H169"/>
    <mergeCell ref="G170:H170"/>
    <mergeCell ref="G171:H171"/>
    <mergeCell ref="G172:H172"/>
    <mergeCell ref="G173:H173"/>
    <mergeCell ref="G180:H180"/>
    <mergeCell ref="A181:H181"/>
    <mergeCell ref="A182:H182"/>
    <mergeCell ref="A183:H183"/>
    <mergeCell ref="E189:H189"/>
    <mergeCell ref="A190:A191"/>
    <mergeCell ref="B190:B191"/>
    <mergeCell ref="C190:C191"/>
    <mergeCell ref="D190:D191"/>
    <mergeCell ref="E190:H190"/>
    <mergeCell ref="G196:H196"/>
    <mergeCell ref="G197:H197"/>
    <mergeCell ref="G198:H198"/>
    <mergeCell ref="G199:H199"/>
    <mergeCell ref="G200:H200"/>
    <mergeCell ref="G201:H201"/>
    <mergeCell ref="E191:H191"/>
    <mergeCell ref="A192:H192"/>
    <mergeCell ref="A193:A195"/>
    <mergeCell ref="B193:F193"/>
    <mergeCell ref="G193:H193"/>
    <mergeCell ref="B194:C194"/>
    <mergeCell ref="E194:F194"/>
    <mergeCell ref="G194:H194"/>
    <mergeCell ref="G195:H195"/>
    <mergeCell ref="G208:H208"/>
    <mergeCell ref="G209:H209"/>
    <mergeCell ref="G210:H210"/>
    <mergeCell ref="G211:H211"/>
    <mergeCell ref="G212:H212"/>
    <mergeCell ref="G213:H213"/>
    <mergeCell ref="G202:H202"/>
    <mergeCell ref="G203:H203"/>
    <mergeCell ref="G204:H204"/>
    <mergeCell ref="G205:H205"/>
    <mergeCell ref="G206:H206"/>
    <mergeCell ref="G207:H207"/>
    <mergeCell ref="G214:H214"/>
    <mergeCell ref="A215:H215"/>
    <mergeCell ref="A216:H216"/>
    <mergeCell ref="A217:H217"/>
    <mergeCell ref="E223:H223"/>
    <mergeCell ref="A224:A225"/>
    <mergeCell ref="B224:B225"/>
    <mergeCell ref="C224:C225"/>
    <mergeCell ref="D224:D225"/>
    <mergeCell ref="E224:H224"/>
    <mergeCell ref="G230:H230"/>
    <mergeCell ref="G231:H231"/>
    <mergeCell ref="G232:H232"/>
    <mergeCell ref="G233:H233"/>
    <mergeCell ref="G234:H234"/>
    <mergeCell ref="G235:H235"/>
    <mergeCell ref="E225:H225"/>
    <mergeCell ref="A226:H226"/>
    <mergeCell ref="A227:A229"/>
    <mergeCell ref="B227:F227"/>
    <mergeCell ref="G227:H227"/>
    <mergeCell ref="B228:C228"/>
    <mergeCell ref="E228:F228"/>
    <mergeCell ref="G228:H228"/>
    <mergeCell ref="G229:H229"/>
    <mergeCell ref="G242:H242"/>
    <mergeCell ref="G243:H243"/>
    <mergeCell ref="G244:H244"/>
    <mergeCell ref="G245:H245"/>
    <mergeCell ref="G246:H246"/>
    <mergeCell ref="G247:H247"/>
    <mergeCell ref="G236:H236"/>
    <mergeCell ref="G237:H237"/>
    <mergeCell ref="G238:H238"/>
    <mergeCell ref="G239:H239"/>
    <mergeCell ref="G240:H240"/>
    <mergeCell ref="G241:H241"/>
    <mergeCell ref="G248:H248"/>
    <mergeCell ref="A249:H249"/>
    <mergeCell ref="A250:H250"/>
    <mergeCell ref="A251:H251"/>
    <mergeCell ref="E257:H257"/>
    <mergeCell ref="A258:A259"/>
    <mergeCell ref="B258:B259"/>
    <mergeCell ref="C258:C259"/>
    <mergeCell ref="D258:D259"/>
    <mergeCell ref="E258:H258"/>
    <mergeCell ref="G264:H264"/>
    <mergeCell ref="G265:H265"/>
    <mergeCell ref="G266:H266"/>
    <mergeCell ref="G267:H267"/>
    <mergeCell ref="G268:H268"/>
    <mergeCell ref="G269:H269"/>
    <mergeCell ref="E259:H259"/>
    <mergeCell ref="A260:H260"/>
    <mergeCell ref="A261:A263"/>
    <mergeCell ref="B261:F261"/>
    <mergeCell ref="G261:H261"/>
    <mergeCell ref="B262:C262"/>
    <mergeCell ref="E262:F262"/>
    <mergeCell ref="G262:H262"/>
    <mergeCell ref="G263:H263"/>
    <mergeCell ref="G276:H276"/>
    <mergeCell ref="G277:H277"/>
    <mergeCell ref="G278:H278"/>
    <mergeCell ref="G279:H279"/>
    <mergeCell ref="G280:H280"/>
    <mergeCell ref="G281:H281"/>
    <mergeCell ref="G270:H270"/>
    <mergeCell ref="G271:H271"/>
    <mergeCell ref="G272:H272"/>
    <mergeCell ref="G273:H273"/>
    <mergeCell ref="G274:H274"/>
    <mergeCell ref="G275:H275"/>
    <mergeCell ref="G282:H282"/>
    <mergeCell ref="A283:H283"/>
    <mergeCell ref="A284:H284"/>
    <mergeCell ref="A285:H285"/>
    <mergeCell ref="E290:H290"/>
    <mergeCell ref="A291:A292"/>
    <mergeCell ref="B291:B292"/>
    <mergeCell ref="C291:C292"/>
    <mergeCell ref="D291:D292"/>
    <mergeCell ref="E291:H291"/>
    <mergeCell ref="G297:H297"/>
    <mergeCell ref="G298:H298"/>
    <mergeCell ref="G299:H299"/>
    <mergeCell ref="G300:H300"/>
    <mergeCell ref="G301:H301"/>
    <mergeCell ref="G302:H302"/>
    <mergeCell ref="E292:H292"/>
    <mergeCell ref="A293:H293"/>
    <mergeCell ref="A294:A296"/>
    <mergeCell ref="B294:F294"/>
    <mergeCell ref="G294:H294"/>
    <mergeCell ref="B295:C295"/>
    <mergeCell ref="E295:F295"/>
    <mergeCell ref="G295:H295"/>
    <mergeCell ref="G296:H296"/>
    <mergeCell ref="G309:H309"/>
    <mergeCell ref="G310:H310"/>
    <mergeCell ref="G311:H311"/>
    <mergeCell ref="G312:H312"/>
    <mergeCell ref="G313:H313"/>
    <mergeCell ref="G314:H314"/>
    <mergeCell ref="G303:H303"/>
    <mergeCell ref="G304:H304"/>
    <mergeCell ref="G305:H305"/>
    <mergeCell ref="G306:H306"/>
    <mergeCell ref="G307:H307"/>
    <mergeCell ref="G308:H308"/>
    <mergeCell ref="G315:H315"/>
    <mergeCell ref="A316:H316"/>
    <mergeCell ref="A317:H317"/>
    <mergeCell ref="A318:H318"/>
    <mergeCell ref="E323:H323"/>
    <mergeCell ref="A324:A325"/>
    <mergeCell ref="B324:B325"/>
    <mergeCell ref="C324:C325"/>
    <mergeCell ref="D324:D325"/>
    <mergeCell ref="E324:H324"/>
    <mergeCell ref="G330:H330"/>
    <mergeCell ref="G331:H331"/>
    <mergeCell ref="G332:H332"/>
    <mergeCell ref="G333:H333"/>
    <mergeCell ref="G334:H334"/>
    <mergeCell ref="G335:H335"/>
    <mergeCell ref="E325:H325"/>
    <mergeCell ref="A326:H326"/>
    <mergeCell ref="A327:A329"/>
    <mergeCell ref="B327:F327"/>
    <mergeCell ref="G327:H327"/>
    <mergeCell ref="B328:C328"/>
    <mergeCell ref="E328:F328"/>
    <mergeCell ref="G328:H328"/>
    <mergeCell ref="G329:H329"/>
    <mergeCell ref="G342:H342"/>
    <mergeCell ref="G343:H343"/>
    <mergeCell ref="G344:H344"/>
    <mergeCell ref="G345:H345"/>
    <mergeCell ref="G346:H346"/>
    <mergeCell ref="G347:H347"/>
    <mergeCell ref="G336:H336"/>
    <mergeCell ref="G337:H337"/>
    <mergeCell ref="G338:H338"/>
    <mergeCell ref="G339:H339"/>
    <mergeCell ref="G340:H340"/>
    <mergeCell ref="G341:H341"/>
    <mergeCell ref="G348:H348"/>
    <mergeCell ref="A349:H349"/>
    <mergeCell ref="A350:H350"/>
    <mergeCell ref="A351:H351"/>
    <mergeCell ref="E358:H358"/>
    <mergeCell ref="A359:A360"/>
    <mergeCell ref="B359:B360"/>
    <mergeCell ref="C359:C360"/>
    <mergeCell ref="D359:D360"/>
    <mergeCell ref="E359:H359"/>
    <mergeCell ref="G365:H365"/>
    <mergeCell ref="G366:H366"/>
    <mergeCell ref="G367:H367"/>
    <mergeCell ref="G368:H368"/>
    <mergeCell ref="G369:H369"/>
    <mergeCell ref="G370:H370"/>
    <mergeCell ref="E360:H360"/>
    <mergeCell ref="A361:H361"/>
    <mergeCell ref="A362:A364"/>
    <mergeCell ref="B362:F362"/>
    <mergeCell ref="G362:H362"/>
    <mergeCell ref="B363:C363"/>
    <mergeCell ref="E363:F363"/>
    <mergeCell ref="G363:H363"/>
    <mergeCell ref="G364:H364"/>
    <mergeCell ref="G377:H377"/>
    <mergeCell ref="G378:H378"/>
    <mergeCell ref="G379:H379"/>
    <mergeCell ref="G380:H380"/>
    <mergeCell ref="G381:H381"/>
    <mergeCell ref="G382:H382"/>
    <mergeCell ref="G371:H371"/>
    <mergeCell ref="G372:H372"/>
    <mergeCell ref="G373:H373"/>
    <mergeCell ref="G374:H374"/>
    <mergeCell ref="G375:H375"/>
    <mergeCell ref="G376:H376"/>
    <mergeCell ref="E397:H397"/>
    <mergeCell ref="E398:H398"/>
    <mergeCell ref="A399:A400"/>
    <mergeCell ref="B399:B400"/>
    <mergeCell ref="C399:C400"/>
    <mergeCell ref="D399:D400"/>
    <mergeCell ref="E399:H399"/>
    <mergeCell ref="E400:H400"/>
    <mergeCell ref="G383:H383"/>
    <mergeCell ref="A384:H384"/>
    <mergeCell ref="A385:H385"/>
    <mergeCell ref="A386:H386"/>
    <mergeCell ref="E394:H394"/>
    <mergeCell ref="A395:A397"/>
    <mergeCell ref="B395:B397"/>
    <mergeCell ref="C395:C397"/>
    <mergeCell ref="D395:D397"/>
    <mergeCell ref="E395:H395"/>
    <mergeCell ref="G405:H405"/>
    <mergeCell ref="G406:H406"/>
    <mergeCell ref="G407:H407"/>
    <mergeCell ref="G408:H408"/>
    <mergeCell ref="G409:H409"/>
    <mergeCell ref="G410:H410"/>
    <mergeCell ref="A401:H401"/>
    <mergeCell ref="A402:A404"/>
    <mergeCell ref="B402:F402"/>
    <mergeCell ref="G402:H403"/>
    <mergeCell ref="B403:C403"/>
    <mergeCell ref="E403:F403"/>
    <mergeCell ref="G404:H404"/>
    <mergeCell ref="G417:H417"/>
    <mergeCell ref="G418:H418"/>
    <mergeCell ref="G419:H419"/>
    <mergeCell ref="G420:H420"/>
    <mergeCell ref="G421:H421"/>
    <mergeCell ref="G422:H422"/>
    <mergeCell ref="G411:H411"/>
    <mergeCell ref="G412:H412"/>
    <mergeCell ref="G413:H413"/>
    <mergeCell ref="G414:H414"/>
    <mergeCell ref="G415:H415"/>
    <mergeCell ref="G416:H416"/>
    <mergeCell ref="G423:H423"/>
    <mergeCell ref="A424:H426"/>
    <mergeCell ref="E440:H440"/>
    <mergeCell ref="A441:A442"/>
    <mergeCell ref="B441:B442"/>
    <mergeCell ref="C441:C442"/>
    <mergeCell ref="D441:D442"/>
    <mergeCell ref="E441:H441"/>
    <mergeCell ref="E442:H442"/>
    <mergeCell ref="G447:H447"/>
    <mergeCell ref="G448:H448"/>
    <mergeCell ref="G449:H449"/>
    <mergeCell ref="G450:H450"/>
    <mergeCell ref="G451:H451"/>
    <mergeCell ref="G452:H452"/>
    <mergeCell ref="A443:H443"/>
    <mergeCell ref="A444:A446"/>
    <mergeCell ref="B444:F444"/>
    <mergeCell ref="G444:H444"/>
    <mergeCell ref="B445:C445"/>
    <mergeCell ref="E445:F445"/>
    <mergeCell ref="G445:H445"/>
    <mergeCell ref="G446:H446"/>
    <mergeCell ref="G459:H459"/>
    <mergeCell ref="G460:H460"/>
    <mergeCell ref="G461:H461"/>
    <mergeCell ref="G462:H462"/>
    <mergeCell ref="G463:H463"/>
    <mergeCell ref="G464:H464"/>
    <mergeCell ref="G453:H453"/>
    <mergeCell ref="G454:H454"/>
    <mergeCell ref="G455:H455"/>
    <mergeCell ref="G456:H456"/>
    <mergeCell ref="G457:H457"/>
    <mergeCell ref="G458:H458"/>
    <mergeCell ref="G465:H465"/>
    <mergeCell ref="A466:H466"/>
    <mergeCell ref="A467:H467"/>
    <mergeCell ref="A468:H468"/>
    <mergeCell ref="E474:H474"/>
    <mergeCell ref="A475:A476"/>
    <mergeCell ref="B475:B476"/>
    <mergeCell ref="C475:C476"/>
    <mergeCell ref="D475:D476"/>
    <mergeCell ref="E475:H475"/>
    <mergeCell ref="G481:H481"/>
    <mergeCell ref="G482:H482"/>
    <mergeCell ref="G483:H483"/>
    <mergeCell ref="G484:H484"/>
    <mergeCell ref="G485:H485"/>
    <mergeCell ref="G486:H486"/>
    <mergeCell ref="E476:H476"/>
    <mergeCell ref="A477:H477"/>
    <mergeCell ref="A478:A480"/>
    <mergeCell ref="B478:F478"/>
    <mergeCell ref="G478:H478"/>
    <mergeCell ref="B479:C479"/>
    <mergeCell ref="E479:F479"/>
    <mergeCell ref="G479:H479"/>
    <mergeCell ref="G480:H480"/>
    <mergeCell ref="G493:H493"/>
    <mergeCell ref="G494:H494"/>
    <mergeCell ref="G495:H495"/>
    <mergeCell ref="G496:H496"/>
    <mergeCell ref="G497:H497"/>
    <mergeCell ref="G498:H498"/>
    <mergeCell ref="G487:H487"/>
    <mergeCell ref="G488:H488"/>
    <mergeCell ref="G489:H489"/>
    <mergeCell ref="G490:H490"/>
    <mergeCell ref="G491:H491"/>
    <mergeCell ref="G492:H492"/>
    <mergeCell ref="G499:H499"/>
    <mergeCell ref="A500:H500"/>
    <mergeCell ref="A501:H501"/>
    <mergeCell ref="A502:H502"/>
    <mergeCell ref="E508:H508"/>
    <mergeCell ref="A509:A510"/>
    <mergeCell ref="B509:B510"/>
    <mergeCell ref="C509:C510"/>
    <mergeCell ref="D509:D510"/>
    <mergeCell ref="E509:H509"/>
    <mergeCell ref="G515:H515"/>
    <mergeCell ref="G516:H516"/>
    <mergeCell ref="G517:H517"/>
    <mergeCell ref="G518:H518"/>
    <mergeCell ref="G519:H519"/>
    <mergeCell ref="G520:H520"/>
    <mergeCell ref="E510:H510"/>
    <mergeCell ref="A511:H511"/>
    <mergeCell ref="A512:A514"/>
    <mergeCell ref="B512:F512"/>
    <mergeCell ref="G512:H512"/>
    <mergeCell ref="B513:C513"/>
    <mergeCell ref="E513:F513"/>
    <mergeCell ref="G513:H513"/>
    <mergeCell ref="G514:H514"/>
    <mergeCell ref="G527:H527"/>
    <mergeCell ref="G528:H528"/>
    <mergeCell ref="G529:H529"/>
    <mergeCell ref="G530:H530"/>
    <mergeCell ref="G531:H531"/>
    <mergeCell ref="G532:H532"/>
    <mergeCell ref="G521:H521"/>
    <mergeCell ref="G522:H522"/>
    <mergeCell ref="G523:H523"/>
    <mergeCell ref="G524:H524"/>
    <mergeCell ref="G525:H525"/>
    <mergeCell ref="G526:H526"/>
    <mergeCell ref="G533:H533"/>
    <mergeCell ref="A534:H534"/>
    <mergeCell ref="A535:H535"/>
    <mergeCell ref="A536:H536"/>
    <mergeCell ref="E550:H550"/>
    <mergeCell ref="A551:A552"/>
    <mergeCell ref="B551:B552"/>
    <mergeCell ref="C551:C552"/>
    <mergeCell ref="D551:D552"/>
    <mergeCell ref="E551:H551"/>
    <mergeCell ref="G557:H557"/>
    <mergeCell ref="G558:H558"/>
    <mergeCell ref="G559:H559"/>
    <mergeCell ref="G560:H560"/>
    <mergeCell ref="G561:H561"/>
    <mergeCell ref="G562:H562"/>
    <mergeCell ref="E552:H552"/>
    <mergeCell ref="A553:H553"/>
    <mergeCell ref="A554:A556"/>
    <mergeCell ref="B554:F554"/>
    <mergeCell ref="G554:H554"/>
    <mergeCell ref="B555:C555"/>
    <mergeCell ref="E555:F555"/>
    <mergeCell ref="G555:H555"/>
    <mergeCell ref="G556:H556"/>
    <mergeCell ref="G569:H569"/>
    <mergeCell ref="G570:H570"/>
    <mergeCell ref="G571:H571"/>
    <mergeCell ref="G572:H572"/>
    <mergeCell ref="G573:H573"/>
    <mergeCell ref="G574:H574"/>
    <mergeCell ref="G563:H563"/>
    <mergeCell ref="G564:H564"/>
    <mergeCell ref="G565:H565"/>
    <mergeCell ref="G566:H566"/>
    <mergeCell ref="G567:H567"/>
    <mergeCell ref="G568:H568"/>
    <mergeCell ref="G575:H575"/>
    <mergeCell ref="A576:H576"/>
    <mergeCell ref="A577:H577"/>
    <mergeCell ref="A578:H578"/>
    <mergeCell ref="E585:H585"/>
    <mergeCell ref="A586:A587"/>
    <mergeCell ref="B586:B587"/>
    <mergeCell ref="C586:C587"/>
    <mergeCell ref="D586:D587"/>
    <mergeCell ref="E586:H586"/>
    <mergeCell ref="G592:H592"/>
    <mergeCell ref="G593:H593"/>
    <mergeCell ref="G594:H594"/>
    <mergeCell ref="G595:H595"/>
    <mergeCell ref="G596:H596"/>
    <mergeCell ref="G597:H597"/>
    <mergeCell ref="E587:H587"/>
    <mergeCell ref="A588:H588"/>
    <mergeCell ref="A589:A591"/>
    <mergeCell ref="B589:F589"/>
    <mergeCell ref="G589:H589"/>
    <mergeCell ref="B590:C590"/>
    <mergeCell ref="E590:F590"/>
    <mergeCell ref="G590:H590"/>
    <mergeCell ref="G591:H591"/>
    <mergeCell ref="G604:H604"/>
    <mergeCell ref="G605:H605"/>
    <mergeCell ref="G606:H606"/>
    <mergeCell ref="G607:H607"/>
    <mergeCell ref="G608:H608"/>
    <mergeCell ref="G609:H609"/>
    <mergeCell ref="G598:H598"/>
    <mergeCell ref="G599:H599"/>
    <mergeCell ref="G600:H600"/>
    <mergeCell ref="G601:H601"/>
    <mergeCell ref="G602:H602"/>
    <mergeCell ref="G603:H603"/>
    <mergeCell ref="G610:H610"/>
    <mergeCell ref="A611:H611"/>
    <mergeCell ref="A612:H612"/>
    <mergeCell ref="A613:H613"/>
    <mergeCell ref="E621:H621"/>
    <mergeCell ref="A622:A623"/>
    <mergeCell ref="B622:B623"/>
    <mergeCell ref="C622:C623"/>
    <mergeCell ref="D622:D623"/>
    <mergeCell ref="E622:H622"/>
    <mergeCell ref="G628:H628"/>
    <mergeCell ref="G629:H629"/>
    <mergeCell ref="G630:H630"/>
    <mergeCell ref="G631:H631"/>
    <mergeCell ref="G632:H632"/>
    <mergeCell ref="G633:H633"/>
    <mergeCell ref="E623:H623"/>
    <mergeCell ref="A624:H624"/>
    <mergeCell ref="A625:A627"/>
    <mergeCell ref="B625:F625"/>
    <mergeCell ref="G625:H625"/>
    <mergeCell ref="B626:C626"/>
    <mergeCell ref="E626:F626"/>
    <mergeCell ref="G626:H626"/>
    <mergeCell ref="G627:H627"/>
    <mergeCell ref="G640:H640"/>
    <mergeCell ref="G641:H641"/>
    <mergeCell ref="G642:H642"/>
    <mergeCell ref="G643:H643"/>
    <mergeCell ref="G644:H644"/>
    <mergeCell ref="G645:H645"/>
    <mergeCell ref="G634:H634"/>
    <mergeCell ref="G635:H635"/>
    <mergeCell ref="G636:H636"/>
    <mergeCell ref="G637:H637"/>
    <mergeCell ref="G638:H638"/>
    <mergeCell ref="G639:H639"/>
    <mergeCell ref="G646:H646"/>
    <mergeCell ref="A647:H647"/>
    <mergeCell ref="A648:H648"/>
    <mergeCell ref="A649:H649"/>
    <mergeCell ref="E663:H663"/>
    <mergeCell ref="A664:A665"/>
    <mergeCell ref="B664:B665"/>
    <mergeCell ref="C664:C665"/>
    <mergeCell ref="D664:D665"/>
    <mergeCell ref="E664:H664"/>
    <mergeCell ref="E665:H665"/>
    <mergeCell ref="A666:H666"/>
    <mergeCell ref="A667:A669"/>
    <mergeCell ref="B667:F667"/>
    <mergeCell ref="G667:H667"/>
    <mergeCell ref="B668:C668"/>
    <mergeCell ref="E668:F668"/>
    <mergeCell ref="G668:H668"/>
    <mergeCell ref="G669:H669"/>
    <mergeCell ref="G676:H676"/>
    <mergeCell ref="G677:H677"/>
    <mergeCell ref="G678:H678"/>
    <mergeCell ref="G679:H679"/>
    <mergeCell ref="G680:H680"/>
    <mergeCell ref="G681:H681"/>
    <mergeCell ref="G670:H670"/>
    <mergeCell ref="G671:H671"/>
    <mergeCell ref="G672:H672"/>
    <mergeCell ref="G673:H673"/>
    <mergeCell ref="G674:H674"/>
    <mergeCell ref="G675:H675"/>
    <mergeCell ref="G688:H688"/>
    <mergeCell ref="A689:H689"/>
    <mergeCell ref="A690:H690"/>
    <mergeCell ref="A691:H691"/>
    <mergeCell ref="G682:H682"/>
    <mergeCell ref="G683:H683"/>
    <mergeCell ref="G684:H684"/>
    <mergeCell ref="G685:H685"/>
    <mergeCell ref="G686:H686"/>
    <mergeCell ref="G687:H687"/>
  </mergeCells>
  <pageMargins left="0.11811023622047245" right="0.11811023622047245" top="0.15748031496062992" bottom="0.15748031496062992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topLeftCell="A7" zoomScale="78" zoomScaleNormal="78" workbookViewId="0">
      <selection activeCell="B28" sqref="B28:E28"/>
    </sheetView>
  </sheetViews>
  <sheetFormatPr defaultRowHeight="15" x14ac:dyDescent="0.25"/>
  <cols>
    <col min="1" max="1" width="35.28515625" customWidth="1"/>
    <col min="2" max="2" width="26.28515625" style="10" customWidth="1"/>
    <col min="3" max="3" width="15.28515625" style="10" customWidth="1"/>
    <col min="4" max="4" width="19.42578125" style="10" customWidth="1"/>
    <col min="5" max="5" width="15.85546875" style="10" customWidth="1"/>
    <col min="6" max="6" width="10.42578125" style="10" customWidth="1"/>
    <col min="7" max="7" width="12.7109375" style="10" customWidth="1"/>
    <col min="8" max="8" width="7.5703125" style="10" customWidth="1"/>
  </cols>
  <sheetData>
    <row r="1" spans="1:9" x14ac:dyDescent="0.25">
      <c r="C1"/>
      <c r="D1"/>
      <c r="E1"/>
      <c r="F1"/>
      <c r="G1"/>
      <c r="H1"/>
    </row>
    <row r="3" spans="1:9" x14ac:dyDescent="0.25">
      <c r="A3" s="22"/>
      <c r="B3" s="23"/>
      <c r="C3" s="23"/>
      <c r="D3" s="23"/>
      <c r="E3" s="112" t="s">
        <v>29</v>
      </c>
      <c r="F3" s="112"/>
      <c r="G3" s="112"/>
      <c r="H3" s="112"/>
    </row>
    <row r="4" spans="1:9" x14ac:dyDescent="0.25">
      <c r="A4" s="113"/>
      <c r="B4" s="114"/>
      <c r="C4" s="114"/>
      <c r="D4" s="115"/>
      <c r="E4" s="115" t="s">
        <v>0</v>
      </c>
      <c r="F4" s="115"/>
      <c r="G4" s="115"/>
      <c r="H4" s="115"/>
    </row>
    <row r="5" spans="1:9" x14ac:dyDescent="0.25">
      <c r="A5" s="113"/>
      <c r="B5" s="114"/>
      <c r="C5" s="114"/>
      <c r="D5" s="115"/>
      <c r="E5" s="115" t="s">
        <v>1</v>
      </c>
      <c r="F5" s="115"/>
      <c r="G5" s="115"/>
      <c r="H5" s="115"/>
    </row>
    <row r="6" spans="1:9" ht="15.75" thickBot="1" x14ac:dyDescent="0.3">
      <c r="A6" s="98" t="s">
        <v>68</v>
      </c>
      <c r="B6" s="98"/>
      <c r="C6" s="98"/>
      <c r="D6" s="98"/>
      <c r="E6" s="98"/>
      <c r="F6" s="98"/>
      <c r="G6" s="99"/>
      <c r="H6" s="99"/>
    </row>
    <row r="7" spans="1:9" ht="15.75" thickBot="1" x14ac:dyDescent="0.3">
      <c r="A7" s="100" t="s">
        <v>2</v>
      </c>
      <c r="B7" s="103" t="s">
        <v>30</v>
      </c>
      <c r="C7" s="104"/>
      <c r="D7" s="104"/>
      <c r="E7" s="104"/>
      <c r="F7" s="104"/>
      <c r="G7" s="105" t="s">
        <v>3</v>
      </c>
      <c r="H7" s="106"/>
    </row>
    <row r="8" spans="1:9" ht="105.75" thickBot="1" x14ac:dyDescent="0.3">
      <c r="A8" s="101"/>
      <c r="B8" s="96" t="s">
        <v>30</v>
      </c>
      <c r="C8" s="107"/>
      <c r="D8" s="25" t="s">
        <v>32</v>
      </c>
      <c r="E8" s="107" t="s">
        <v>4</v>
      </c>
      <c r="F8" s="97"/>
      <c r="G8" s="108"/>
      <c r="H8" s="109"/>
    </row>
    <row r="9" spans="1:9" ht="150.75" thickBot="1" x14ac:dyDescent="0.3">
      <c r="A9" s="102"/>
      <c r="B9" s="7" t="s">
        <v>36</v>
      </c>
      <c r="C9" s="7" t="s">
        <v>5</v>
      </c>
      <c r="D9" s="7" t="s">
        <v>33</v>
      </c>
      <c r="E9" s="7" t="s">
        <v>34</v>
      </c>
      <c r="F9" s="7" t="s">
        <v>35</v>
      </c>
      <c r="G9" s="110"/>
      <c r="H9" s="111"/>
    </row>
    <row r="10" spans="1:9" ht="15.75" thickBot="1" x14ac:dyDescent="0.3">
      <c r="A10" s="24">
        <v>1</v>
      </c>
      <c r="B10" s="7">
        <v>2</v>
      </c>
      <c r="C10" s="11">
        <v>3</v>
      </c>
      <c r="D10" s="7">
        <v>4</v>
      </c>
      <c r="E10" s="11">
        <v>5</v>
      </c>
      <c r="F10" s="7">
        <v>6</v>
      </c>
      <c r="G10" s="96" t="s">
        <v>37</v>
      </c>
      <c r="H10" s="97"/>
    </row>
    <row r="11" spans="1:9" ht="60.75" thickBot="1" x14ac:dyDescent="0.3">
      <c r="A11" s="2" t="s">
        <v>7</v>
      </c>
      <c r="B11" s="6">
        <f>B12</f>
        <v>11412.92</v>
      </c>
      <c r="C11" s="12"/>
      <c r="D11" s="6">
        <f>D12</f>
        <v>3604.08</v>
      </c>
      <c r="E11" s="8" t="s">
        <v>8</v>
      </c>
      <c r="F11" s="8" t="s">
        <v>8</v>
      </c>
      <c r="G11" s="90">
        <f>15114-97</f>
        <v>15017</v>
      </c>
      <c r="H11" s="91"/>
    </row>
    <row r="12" spans="1:9" ht="15.75" thickBot="1" x14ac:dyDescent="0.3">
      <c r="A12" s="3" t="s">
        <v>9</v>
      </c>
      <c r="B12" s="6">
        <f>G12*76%</f>
        <v>11412.92</v>
      </c>
      <c r="C12" s="12"/>
      <c r="D12" s="26">
        <f>G12-B12</f>
        <v>3604.08</v>
      </c>
      <c r="E12" s="8" t="s">
        <v>8</v>
      </c>
      <c r="F12" s="8" t="s">
        <v>8</v>
      </c>
      <c r="G12" s="90">
        <f>G11-G13</f>
        <v>15017</v>
      </c>
      <c r="H12" s="91"/>
      <c r="I12">
        <f>G12/K19</f>
        <v>0.78274693771175397</v>
      </c>
    </row>
    <row r="13" spans="1:9" ht="15.75" thickBot="1" x14ac:dyDescent="0.3">
      <c r="A13" s="2" t="s">
        <v>10</v>
      </c>
      <c r="B13" s="6">
        <v>0</v>
      </c>
      <c r="C13" s="12"/>
      <c r="D13" s="6">
        <v>0</v>
      </c>
      <c r="E13" s="8" t="s">
        <v>8</v>
      </c>
      <c r="F13" s="8" t="s">
        <v>8</v>
      </c>
      <c r="G13" s="90"/>
      <c r="H13" s="91"/>
    </row>
    <row r="14" spans="1:9" ht="60.75" thickBot="1" x14ac:dyDescent="0.3">
      <c r="A14" s="2" t="s">
        <v>11</v>
      </c>
      <c r="B14" s="6">
        <f>G14*76%</f>
        <v>3083.32</v>
      </c>
      <c r="C14" s="12"/>
      <c r="D14" s="26">
        <f>G14-B14</f>
        <v>973.67999999999984</v>
      </c>
      <c r="E14" s="8" t="s">
        <v>8</v>
      </c>
      <c r="F14" s="8" t="s">
        <v>8</v>
      </c>
      <c r="G14" s="90">
        <f>4071-14</f>
        <v>4057</v>
      </c>
      <c r="H14" s="91"/>
      <c r="I14">
        <f>G14/K19</f>
        <v>0.21146729215532969</v>
      </c>
    </row>
    <row r="15" spans="1:9" ht="30.75" thickBot="1" x14ac:dyDescent="0.3">
      <c r="A15" s="2" t="s">
        <v>12</v>
      </c>
      <c r="B15" s="6">
        <f>G15*76%</f>
        <v>84.36</v>
      </c>
      <c r="C15" s="12"/>
      <c r="D15" s="26">
        <f>G15-B15</f>
        <v>26.64</v>
      </c>
      <c r="E15" s="8" t="s">
        <v>8</v>
      </c>
      <c r="F15" s="8" t="s">
        <v>8</v>
      </c>
      <c r="G15" s="90">
        <f>14+97</f>
        <v>111</v>
      </c>
      <c r="H15" s="91"/>
      <c r="I15">
        <f>G15/K19</f>
        <v>5.7857701329163411E-3</v>
      </c>
    </row>
    <row r="16" spans="1:9" ht="15.75" thickBot="1" x14ac:dyDescent="0.3">
      <c r="A16" s="2" t="s">
        <v>13</v>
      </c>
      <c r="B16" s="6">
        <f>G16*56%</f>
        <v>0</v>
      </c>
      <c r="C16" s="6"/>
      <c r="D16" s="26">
        <f>G16-B16</f>
        <v>0</v>
      </c>
      <c r="E16" s="8" t="s">
        <v>8</v>
      </c>
      <c r="F16" s="8" t="s">
        <v>8</v>
      </c>
      <c r="G16" s="90">
        <v>0</v>
      </c>
      <c r="H16" s="91"/>
    </row>
    <row r="17" spans="1:11" ht="30.75" thickBot="1" x14ac:dyDescent="0.3">
      <c r="A17" s="2" t="s">
        <v>14</v>
      </c>
      <c r="B17" s="6">
        <f>G17*56%</f>
        <v>56.000000000000007</v>
      </c>
      <c r="C17" s="6"/>
      <c r="D17" s="26">
        <f>G17-B17</f>
        <v>43.999999999999993</v>
      </c>
      <c r="E17" s="8" t="s">
        <v>8</v>
      </c>
      <c r="F17" s="8" t="s">
        <v>8</v>
      </c>
      <c r="G17" s="90">
        <v>100</v>
      </c>
      <c r="H17" s="91"/>
    </row>
    <row r="18" spans="1:11" ht="45.75" thickBot="1" x14ac:dyDescent="0.3">
      <c r="A18" s="2" t="s">
        <v>15</v>
      </c>
      <c r="B18" s="8" t="s">
        <v>8</v>
      </c>
      <c r="C18" s="8" t="s">
        <v>8</v>
      </c>
      <c r="D18" s="6"/>
      <c r="E18" s="8" t="s">
        <v>8</v>
      </c>
      <c r="F18" s="8" t="s">
        <v>8</v>
      </c>
      <c r="G18" s="90"/>
      <c r="H18" s="91"/>
    </row>
    <row r="19" spans="1:11" ht="15.75" thickBot="1" x14ac:dyDescent="0.3">
      <c r="A19" s="2" t="s">
        <v>16</v>
      </c>
      <c r="B19" s="8" t="s">
        <v>8</v>
      </c>
      <c r="C19" s="8" t="s">
        <v>8</v>
      </c>
      <c r="D19" s="12"/>
      <c r="E19" s="6">
        <v>1500</v>
      </c>
      <c r="F19" s="6"/>
      <c r="G19" s="90">
        <v>1500</v>
      </c>
      <c r="H19" s="91"/>
      <c r="I19" s="10">
        <f>G11+G14+G15</f>
        <v>19185</v>
      </c>
      <c r="K19" s="10">
        <f>G12+G14+G15</f>
        <v>19185</v>
      </c>
    </row>
    <row r="20" spans="1:11" ht="15.75" thickBot="1" x14ac:dyDescent="0.3">
      <c r="A20" s="3" t="s">
        <v>17</v>
      </c>
      <c r="B20" s="6">
        <f>G20*56%</f>
        <v>0</v>
      </c>
      <c r="C20" s="8"/>
      <c r="D20" s="6"/>
      <c r="E20" s="6">
        <f>G20-B20</f>
        <v>0</v>
      </c>
      <c r="F20" s="6"/>
      <c r="G20" s="90">
        <v>0</v>
      </c>
      <c r="H20" s="91"/>
      <c r="I20">
        <f>12116.67+2512.3</f>
        <v>14628.970000000001</v>
      </c>
    </row>
    <row r="21" spans="1:11" ht="15.75" thickBot="1" x14ac:dyDescent="0.3">
      <c r="A21" s="3" t="s">
        <v>18</v>
      </c>
      <c r="B21" s="6"/>
      <c r="C21" s="8"/>
      <c r="D21" s="8"/>
      <c r="E21" s="6"/>
      <c r="F21" s="6"/>
      <c r="G21" s="90"/>
      <c r="H21" s="91"/>
      <c r="I21" s="10">
        <f>I20-G11-G14-G15</f>
        <v>-4556.0299999999988</v>
      </c>
    </row>
    <row r="22" spans="1:11" ht="45.75" thickBot="1" x14ac:dyDescent="0.3">
      <c r="A22" s="2" t="s">
        <v>19</v>
      </c>
      <c r="B22" s="6"/>
      <c r="C22" s="8"/>
      <c r="D22" s="6"/>
      <c r="E22" s="6"/>
      <c r="F22" s="6"/>
      <c r="G22" s="94"/>
      <c r="H22" s="95"/>
    </row>
    <row r="23" spans="1:11" ht="30.75" thickBot="1" x14ac:dyDescent="0.3">
      <c r="A23" s="2" t="s">
        <v>20</v>
      </c>
      <c r="B23" s="6">
        <f>G23*56%</f>
        <v>6.16</v>
      </c>
      <c r="C23" s="8"/>
      <c r="D23" s="6"/>
      <c r="E23" s="6">
        <f>G23-B23</f>
        <v>4.84</v>
      </c>
      <c r="F23" s="6"/>
      <c r="G23" s="90">
        <v>11</v>
      </c>
      <c r="H23" s="91"/>
    </row>
    <row r="24" spans="1:11" ht="30.75" thickBot="1" x14ac:dyDescent="0.3">
      <c r="A24" s="2" t="s">
        <v>21</v>
      </c>
      <c r="B24" s="6">
        <f>G24*56%</f>
        <v>194.32000000000002</v>
      </c>
      <c r="C24" s="6"/>
      <c r="D24" s="26">
        <f>G24-B24</f>
        <v>152.67999999999998</v>
      </c>
      <c r="E24" s="8" t="s">
        <v>8</v>
      </c>
      <c r="F24" s="8" t="s">
        <v>8</v>
      </c>
      <c r="G24" s="90">
        <v>347</v>
      </c>
      <c r="H24" s="91"/>
    </row>
    <row r="25" spans="1:11" ht="15.75" thickBot="1" x14ac:dyDescent="0.3">
      <c r="A25" s="3" t="s">
        <v>22</v>
      </c>
      <c r="B25" s="6">
        <f>G25*56%</f>
        <v>7.8400000000000007</v>
      </c>
      <c r="C25" s="6"/>
      <c r="D25" s="31">
        <f>G25-B25</f>
        <v>6.1599999999999993</v>
      </c>
      <c r="E25" s="8" t="s">
        <v>8</v>
      </c>
      <c r="F25" s="8" t="s">
        <v>8</v>
      </c>
      <c r="G25" s="90">
        <v>14</v>
      </c>
      <c r="H25" s="91"/>
    </row>
    <row r="26" spans="1:11" ht="15.75" thickBot="1" x14ac:dyDescent="0.3">
      <c r="A26" s="3" t="s">
        <v>23</v>
      </c>
      <c r="B26" s="8" t="s">
        <v>8</v>
      </c>
      <c r="C26" s="12"/>
      <c r="D26" s="8" t="s">
        <v>8</v>
      </c>
      <c r="E26" s="8" t="s">
        <v>8</v>
      </c>
      <c r="F26" s="8" t="s">
        <v>8</v>
      </c>
      <c r="G26" s="94"/>
      <c r="H26" s="95"/>
    </row>
    <row r="27" spans="1:11" ht="15.75" thickBot="1" x14ac:dyDescent="0.3">
      <c r="A27" s="3" t="s">
        <v>24</v>
      </c>
      <c r="B27" s="6">
        <f>G27*56%</f>
        <v>0</v>
      </c>
      <c r="C27" s="6"/>
      <c r="D27" s="6"/>
      <c r="E27" s="8" t="s">
        <v>8</v>
      </c>
      <c r="F27" s="8" t="s">
        <v>8</v>
      </c>
      <c r="G27" s="90"/>
      <c r="H27" s="91"/>
    </row>
    <row r="28" spans="1:11" ht="15.75" thickBot="1" x14ac:dyDescent="0.3">
      <c r="A28" s="4" t="s">
        <v>25</v>
      </c>
      <c r="B28" s="6">
        <f>SUM(B12:B27)</f>
        <v>14844.92</v>
      </c>
      <c r="C28" s="6"/>
      <c r="D28" s="6">
        <f>SUM(D12:D27)</f>
        <v>4807.2400000000007</v>
      </c>
      <c r="E28" s="6">
        <f>SUM(E12:E27)</f>
        <v>1504.84</v>
      </c>
      <c r="F28" s="6"/>
      <c r="G28" s="90">
        <f>SUM(G12:H27)</f>
        <v>21157</v>
      </c>
      <c r="H28" s="91"/>
    </row>
    <row r="29" spans="1:11" x14ac:dyDescent="0.25">
      <c r="A29" s="92" t="s">
        <v>26</v>
      </c>
      <c r="B29" s="92"/>
      <c r="C29" s="92"/>
      <c r="D29" s="92"/>
      <c r="E29" s="92"/>
      <c r="F29" s="92"/>
      <c r="G29" s="92"/>
      <c r="H29" s="92"/>
    </row>
    <row r="30" spans="1:11" x14ac:dyDescent="0.25">
      <c r="A30" s="93" t="s">
        <v>27</v>
      </c>
      <c r="B30" s="93"/>
      <c r="C30" s="93"/>
      <c r="D30" s="93"/>
      <c r="E30" s="93"/>
      <c r="F30" s="93"/>
      <c r="G30" s="93"/>
      <c r="H30" s="93"/>
    </row>
    <row r="31" spans="1:11" x14ac:dyDescent="0.25">
      <c r="A31" s="93" t="s">
        <v>28</v>
      </c>
      <c r="B31" s="93"/>
      <c r="C31" s="93"/>
      <c r="D31" s="93"/>
      <c r="E31" s="93"/>
      <c r="F31" s="93"/>
      <c r="G31" s="93"/>
      <c r="H31" s="93"/>
    </row>
    <row r="32" spans="1:11" x14ac:dyDescent="0.25">
      <c r="A32" s="1"/>
      <c r="B32" s="9"/>
      <c r="C32" s="9"/>
      <c r="D32" s="9"/>
      <c r="E32" s="9"/>
      <c r="F32" s="9"/>
      <c r="G32" s="9"/>
      <c r="H32" s="9"/>
    </row>
    <row r="33" spans="1:8" ht="15.75" x14ac:dyDescent="0.25">
      <c r="A33" s="5"/>
      <c r="B33" s="13" t="s">
        <v>69</v>
      </c>
      <c r="C33" s="13">
        <v>11871</v>
      </c>
    </row>
    <row r="34" spans="1:8" x14ac:dyDescent="0.25">
      <c r="B34" s="10">
        <f>C33-B28</f>
        <v>-2973.92</v>
      </c>
      <c r="C34"/>
      <c r="D34"/>
      <c r="E34"/>
      <c r="F34"/>
      <c r="G34"/>
      <c r="H34"/>
    </row>
    <row r="41" spans="1:8" x14ac:dyDescent="0.25">
      <c r="A41" s="22"/>
      <c r="B41" s="23"/>
      <c r="C41" s="23"/>
      <c r="D41" s="23"/>
      <c r="E41" s="112" t="s">
        <v>29</v>
      </c>
      <c r="F41" s="112"/>
      <c r="G41" s="112"/>
      <c r="H41" s="112"/>
    </row>
    <row r="42" spans="1:8" x14ac:dyDescent="0.25">
      <c r="A42" s="113"/>
      <c r="B42" s="114"/>
      <c r="C42" s="114"/>
      <c r="D42" s="115"/>
      <c r="E42" s="115" t="s">
        <v>0</v>
      </c>
      <c r="F42" s="115"/>
      <c r="G42" s="115"/>
      <c r="H42" s="115"/>
    </row>
    <row r="43" spans="1:8" x14ac:dyDescent="0.25">
      <c r="A43" s="113"/>
      <c r="B43" s="114"/>
      <c r="C43" s="114"/>
      <c r="D43" s="115"/>
      <c r="E43" s="115" t="s">
        <v>1</v>
      </c>
      <c r="F43" s="115"/>
      <c r="G43" s="115"/>
      <c r="H43" s="115"/>
    </row>
    <row r="44" spans="1:8" ht="15.75" thickBot="1" x14ac:dyDescent="0.3">
      <c r="A44" s="98" t="s">
        <v>70</v>
      </c>
      <c r="B44" s="98"/>
      <c r="C44" s="98"/>
      <c r="D44" s="98"/>
      <c r="E44" s="98"/>
      <c r="F44" s="98"/>
      <c r="G44" s="99"/>
      <c r="H44" s="99"/>
    </row>
    <row r="45" spans="1:8" ht="15.75" thickBot="1" x14ac:dyDescent="0.3">
      <c r="A45" s="100" t="s">
        <v>2</v>
      </c>
      <c r="B45" s="103" t="s">
        <v>30</v>
      </c>
      <c r="C45" s="104"/>
      <c r="D45" s="104"/>
      <c r="E45" s="104"/>
      <c r="F45" s="104"/>
      <c r="G45" s="105" t="s">
        <v>3</v>
      </c>
      <c r="H45" s="106"/>
    </row>
    <row r="46" spans="1:8" ht="105.75" thickBot="1" x14ac:dyDescent="0.3">
      <c r="A46" s="101"/>
      <c r="B46" s="96" t="s">
        <v>30</v>
      </c>
      <c r="C46" s="107"/>
      <c r="D46" s="25" t="s">
        <v>32</v>
      </c>
      <c r="E46" s="107" t="s">
        <v>4</v>
      </c>
      <c r="F46" s="97"/>
      <c r="G46" s="108"/>
      <c r="H46" s="109"/>
    </row>
    <row r="47" spans="1:8" ht="150.75" thickBot="1" x14ac:dyDescent="0.3">
      <c r="A47" s="102"/>
      <c r="B47" s="7" t="s">
        <v>36</v>
      </c>
      <c r="C47" s="7" t="s">
        <v>5</v>
      </c>
      <c r="D47" s="7" t="s">
        <v>33</v>
      </c>
      <c r="E47" s="7" t="s">
        <v>34</v>
      </c>
      <c r="F47" s="7" t="s">
        <v>35</v>
      </c>
      <c r="G47" s="110"/>
      <c r="H47" s="111"/>
    </row>
    <row r="48" spans="1:8" ht="15.75" thickBot="1" x14ac:dyDescent="0.3">
      <c r="A48" s="24">
        <v>1</v>
      </c>
      <c r="B48" s="7">
        <v>2</v>
      </c>
      <c r="C48" s="11">
        <v>3</v>
      </c>
      <c r="D48" s="7">
        <v>4</v>
      </c>
      <c r="E48" s="11">
        <v>5</v>
      </c>
      <c r="F48" s="7">
        <v>6</v>
      </c>
      <c r="G48" s="96" t="s">
        <v>37</v>
      </c>
      <c r="H48" s="97"/>
    </row>
    <row r="49" spans="1:9" ht="60.75" thickBot="1" x14ac:dyDescent="0.3">
      <c r="A49" s="2" t="s">
        <v>7</v>
      </c>
      <c r="B49" s="6">
        <f>B50</f>
        <v>22803.8</v>
      </c>
      <c r="C49" s="12"/>
      <c r="D49" s="6">
        <f>D50</f>
        <v>7201.2000000000007</v>
      </c>
      <c r="E49" s="8" t="s">
        <v>8</v>
      </c>
      <c r="F49" s="8" t="s">
        <v>8</v>
      </c>
      <c r="G49" s="90">
        <f>30177-172</f>
        <v>30005</v>
      </c>
      <c r="H49" s="91"/>
    </row>
    <row r="50" spans="1:9" ht="15.75" thickBot="1" x14ac:dyDescent="0.3">
      <c r="A50" s="3" t="s">
        <v>9</v>
      </c>
      <c r="B50" s="6">
        <f>G50*76%</f>
        <v>22803.8</v>
      </c>
      <c r="C50" s="12"/>
      <c r="D50" s="26">
        <f>G50-B50</f>
        <v>7201.2000000000007</v>
      </c>
      <c r="E50" s="8" t="s">
        <v>8</v>
      </c>
      <c r="F50" s="8" t="s">
        <v>8</v>
      </c>
      <c r="G50" s="90">
        <f>G49-G51</f>
        <v>30005</v>
      </c>
      <c r="H50" s="91"/>
    </row>
    <row r="51" spans="1:9" ht="15.75" thickBot="1" x14ac:dyDescent="0.3">
      <c r="A51" s="2" t="s">
        <v>10</v>
      </c>
      <c r="B51" s="6">
        <v>0</v>
      </c>
      <c r="C51" s="12"/>
      <c r="D51" s="6">
        <v>0</v>
      </c>
      <c r="E51" s="8" t="s">
        <v>8</v>
      </c>
      <c r="F51" s="8" t="s">
        <v>8</v>
      </c>
      <c r="G51" s="90"/>
      <c r="H51" s="91"/>
    </row>
    <row r="52" spans="1:9" ht="60.75" thickBot="1" x14ac:dyDescent="0.3">
      <c r="A52" s="2" t="s">
        <v>11</v>
      </c>
      <c r="B52" s="6">
        <f>G52*76%</f>
        <v>5662.76</v>
      </c>
      <c r="C52" s="12"/>
      <c r="D52" s="26">
        <f>G52-B52</f>
        <v>1788.2399999999998</v>
      </c>
      <c r="E52" s="8" t="s">
        <v>8</v>
      </c>
      <c r="F52" s="8" t="s">
        <v>8</v>
      </c>
      <c r="G52" s="90">
        <f>7478-27</f>
        <v>7451</v>
      </c>
      <c r="H52" s="91"/>
    </row>
    <row r="53" spans="1:9" ht="30.75" thickBot="1" x14ac:dyDescent="0.3">
      <c r="A53" s="2" t="s">
        <v>12</v>
      </c>
      <c r="B53" s="6">
        <f>G53*76%</f>
        <v>151.24</v>
      </c>
      <c r="C53" s="12"/>
      <c r="D53" s="26">
        <f>G53-B53</f>
        <v>47.759999999999991</v>
      </c>
      <c r="E53" s="8" t="s">
        <v>8</v>
      </c>
      <c r="F53" s="8" t="s">
        <v>8</v>
      </c>
      <c r="G53" s="90">
        <f>172+27</f>
        <v>199</v>
      </c>
      <c r="H53" s="91"/>
      <c r="I53" s="10">
        <f>G49+G52+G53</f>
        <v>37655</v>
      </c>
    </row>
    <row r="54" spans="1:9" ht="15.75" thickBot="1" x14ac:dyDescent="0.3">
      <c r="A54" s="2" t="s">
        <v>13</v>
      </c>
      <c r="B54" s="6">
        <f>G54*56%</f>
        <v>0</v>
      </c>
      <c r="C54" s="6"/>
      <c r="D54" s="26">
        <f>G54-B54</f>
        <v>0</v>
      </c>
      <c r="E54" s="8" t="s">
        <v>8</v>
      </c>
      <c r="F54" s="8" t="s">
        <v>8</v>
      </c>
      <c r="G54" s="90">
        <v>0</v>
      </c>
      <c r="H54" s="91"/>
      <c r="I54" s="10">
        <f>30208-I53</f>
        <v>-7447</v>
      </c>
    </row>
    <row r="55" spans="1:9" ht="30.75" thickBot="1" x14ac:dyDescent="0.3">
      <c r="A55" s="2" t="s">
        <v>14</v>
      </c>
      <c r="B55" s="6">
        <f>G55*56%</f>
        <v>141.12</v>
      </c>
      <c r="C55" s="6"/>
      <c r="D55" s="26">
        <f>G55-B55</f>
        <v>110.88</v>
      </c>
      <c r="E55" s="8" t="s">
        <v>8</v>
      </c>
      <c r="F55" s="8" t="s">
        <v>8</v>
      </c>
      <c r="G55" s="90">
        <v>252</v>
      </c>
      <c r="H55" s="91"/>
    </row>
    <row r="56" spans="1:9" ht="45.75" thickBot="1" x14ac:dyDescent="0.3">
      <c r="A56" s="2" t="s">
        <v>15</v>
      </c>
      <c r="B56" s="8" t="s">
        <v>8</v>
      </c>
      <c r="C56" s="8" t="s">
        <v>8</v>
      </c>
      <c r="D56" s="6"/>
      <c r="E56" s="8" t="s">
        <v>8</v>
      </c>
      <c r="F56" s="8" t="s">
        <v>8</v>
      </c>
      <c r="G56" s="90"/>
      <c r="H56" s="91"/>
    </row>
    <row r="57" spans="1:9" ht="15.75" thickBot="1" x14ac:dyDescent="0.3">
      <c r="A57" s="2" t="s">
        <v>16</v>
      </c>
      <c r="B57" s="8" t="s">
        <v>8</v>
      </c>
      <c r="C57" s="8" t="s">
        <v>8</v>
      </c>
      <c r="D57" s="12"/>
      <c r="E57" s="6">
        <v>3000</v>
      </c>
      <c r="F57" s="6"/>
      <c r="G57" s="90">
        <v>3000</v>
      </c>
      <c r="H57" s="91"/>
    </row>
    <row r="58" spans="1:9" ht="15.75" thickBot="1" x14ac:dyDescent="0.3">
      <c r="A58" s="3" t="s">
        <v>17</v>
      </c>
      <c r="B58" s="6">
        <f>G58*56%</f>
        <v>0</v>
      </c>
      <c r="C58" s="8"/>
      <c r="D58" s="6"/>
      <c r="E58" s="6">
        <f>G58-B58</f>
        <v>0</v>
      </c>
      <c r="F58" s="6"/>
      <c r="G58" s="90">
        <v>0</v>
      </c>
      <c r="H58" s="91"/>
    </row>
    <row r="59" spans="1:9" ht="15.75" thickBot="1" x14ac:dyDescent="0.3">
      <c r="A59" s="3" t="s">
        <v>18</v>
      </c>
      <c r="B59" s="6"/>
      <c r="C59" s="8"/>
      <c r="D59" s="8"/>
      <c r="E59" s="6"/>
      <c r="F59" s="6"/>
      <c r="G59" s="90"/>
      <c r="H59" s="91"/>
    </row>
    <row r="60" spans="1:9" ht="45.75" thickBot="1" x14ac:dyDescent="0.3">
      <c r="A60" s="2" t="s">
        <v>19</v>
      </c>
      <c r="B60" s="6"/>
      <c r="C60" s="8"/>
      <c r="D60" s="6"/>
      <c r="E60" s="6"/>
      <c r="F60" s="6"/>
      <c r="G60" s="94"/>
      <c r="H60" s="95"/>
    </row>
    <row r="61" spans="1:9" ht="30.75" thickBot="1" x14ac:dyDescent="0.3">
      <c r="A61" s="2" t="s">
        <v>20</v>
      </c>
      <c r="B61" s="6">
        <f>G61*56%</f>
        <v>12.32</v>
      </c>
      <c r="C61" s="8"/>
      <c r="D61" s="6"/>
      <c r="E61" s="6">
        <f>G61-B61</f>
        <v>9.68</v>
      </c>
      <c r="F61" s="6"/>
      <c r="G61" s="90">
        <v>22</v>
      </c>
      <c r="H61" s="91"/>
    </row>
    <row r="62" spans="1:9" ht="30.75" thickBot="1" x14ac:dyDescent="0.3">
      <c r="A62" s="2" t="s">
        <v>21</v>
      </c>
      <c r="B62" s="6">
        <f>G62*56%</f>
        <v>398.72</v>
      </c>
      <c r="C62" s="6"/>
      <c r="D62" s="26">
        <f>G62-B62</f>
        <v>313.27999999999997</v>
      </c>
      <c r="E62" s="8" t="s">
        <v>8</v>
      </c>
      <c r="F62" s="8" t="s">
        <v>8</v>
      </c>
      <c r="G62" s="90">
        <v>712</v>
      </c>
      <c r="H62" s="91"/>
    </row>
    <row r="63" spans="1:9" ht="15.75" thickBot="1" x14ac:dyDescent="0.3">
      <c r="A63" s="3" t="s">
        <v>22</v>
      </c>
      <c r="B63" s="6">
        <f>G63*56%</f>
        <v>19.040000000000003</v>
      </c>
      <c r="C63" s="6"/>
      <c r="D63" s="31">
        <f>G63-B63</f>
        <v>14.959999999999997</v>
      </c>
      <c r="E63" s="8" t="s">
        <v>8</v>
      </c>
      <c r="F63" s="8" t="s">
        <v>8</v>
      </c>
      <c r="G63" s="90">
        <v>34</v>
      </c>
      <c r="H63" s="91"/>
    </row>
    <row r="64" spans="1:9" ht="15.75" thickBot="1" x14ac:dyDescent="0.3">
      <c r="A64" s="3" t="s">
        <v>23</v>
      </c>
      <c r="B64" s="8" t="s">
        <v>8</v>
      </c>
      <c r="C64" s="12"/>
      <c r="D64" s="8" t="s">
        <v>8</v>
      </c>
      <c r="E64" s="8" t="s">
        <v>8</v>
      </c>
      <c r="F64" s="8" t="s">
        <v>8</v>
      </c>
      <c r="G64" s="94"/>
      <c r="H64" s="95"/>
    </row>
    <row r="65" spans="1:8" ht="15.75" thickBot="1" x14ac:dyDescent="0.3">
      <c r="A65" s="3" t="s">
        <v>24</v>
      </c>
      <c r="B65" s="6">
        <f>G65*56%</f>
        <v>0</v>
      </c>
      <c r="C65" s="6"/>
      <c r="D65" s="6"/>
      <c r="E65" s="8" t="s">
        <v>8</v>
      </c>
      <c r="F65" s="8" t="s">
        <v>8</v>
      </c>
      <c r="G65" s="90"/>
      <c r="H65" s="91"/>
    </row>
    <row r="66" spans="1:8" ht="15.75" thickBot="1" x14ac:dyDescent="0.3">
      <c r="A66" s="4" t="s">
        <v>25</v>
      </c>
      <c r="B66" s="6">
        <f>SUM(B50:B65)</f>
        <v>29189</v>
      </c>
      <c r="C66" s="6"/>
      <c r="D66" s="6">
        <f>SUM(D50:D65)</f>
        <v>9476.32</v>
      </c>
      <c r="E66" s="6">
        <f>SUM(E50:E65)</f>
        <v>3009.68</v>
      </c>
      <c r="F66" s="6"/>
      <c r="G66" s="90">
        <f>SUM(G50:H65)</f>
        <v>41675</v>
      </c>
      <c r="H66" s="91"/>
    </row>
    <row r="67" spans="1:8" x14ac:dyDescent="0.25">
      <c r="A67" s="92" t="s">
        <v>26</v>
      </c>
      <c r="B67" s="92"/>
      <c r="C67" s="92"/>
      <c r="D67" s="92"/>
      <c r="E67" s="92"/>
      <c r="F67" s="92"/>
      <c r="G67" s="92"/>
      <c r="H67" s="92"/>
    </row>
    <row r="68" spans="1:8" x14ac:dyDescent="0.25">
      <c r="A68" s="93" t="s">
        <v>27</v>
      </c>
      <c r="B68" s="93"/>
      <c r="C68" s="93"/>
      <c r="D68" s="93"/>
      <c r="E68" s="93"/>
      <c r="F68" s="93"/>
      <c r="G68" s="93"/>
      <c r="H68" s="93"/>
    </row>
    <row r="69" spans="1:8" x14ac:dyDescent="0.25">
      <c r="A69" s="93" t="s">
        <v>28</v>
      </c>
      <c r="B69" s="93"/>
      <c r="C69" s="93"/>
      <c r="D69" s="93"/>
      <c r="E69" s="93"/>
      <c r="F69" s="93"/>
      <c r="G69" s="93"/>
      <c r="H69" s="93"/>
    </row>
    <row r="70" spans="1:8" x14ac:dyDescent="0.25">
      <c r="A70" s="1"/>
      <c r="B70" s="9"/>
      <c r="C70" s="9"/>
      <c r="D70" s="9"/>
      <c r="E70" s="9"/>
      <c r="F70" s="9"/>
      <c r="G70" s="9"/>
      <c r="H70" s="9"/>
    </row>
    <row r="71" spans="1:8" ht="15.75" x14ac:dyDescent="0.25">
      <c r="A71" s="5"/>
      <c r="B71" s="13" t="s">
        <v>71</v>
      </c>
      <c r="C71" s="13">
        <v>23203</v>
      </c>
    </row>
    <row r="73" spans="1:8" x14ac:dyDescent="0.25">
      <c r="B73" s="10">
        <f>C71-B66</f>
        <v>-5986</v>
      </c>
      <c r="C73"/>
      <c r="D73"/>
      <c r="E73"/>
      <c r="F73"/>
      <c r="G73"/>
      <c r="H73"/>
    </row>
    <row r="77" spans="1:8" x14ac:dyDescent="0.25">
      <c r="A77" s="22"/>
      <c r="B77" s="23"/>
      <c r="C77" s="23"/>
      <c r="D77" s="23"/>
      <c r="E77" s="112" t="s">
        <v>29</v>
      </c>
      <c r="F77" s="112"/>
      <c r="G77" s="112"/>
      <c r="H77" s="112"/>
    </row>
    <row r="78" spans="1:8" x14ac:dyDescent="0.25">
      <c r="A78" s="113"/>
      <c r="B78" s="114"/>
      <c r="C78" s="114"/>
      <c r="D78" s="115"/>
      <c r="E78" s="115" t="s">
        <v>0</v>
      </c>
      <c r="F78" s="115"/>
      <c r="G78" s="115"/>
      <c r="H78" s="115"/>
    </row>
    <row r="79" spans="1:8" x14ac:dyDescent="0.25">
      <c r="A79" s="113"/>
      <c r="B79" s="114"/>
      <c r="C79" s="114"/>
      <c r="D79" s="115"/>
      <c r="E79" s="115" t="s">
        <v>1</v>
      </c>
      <c r="F79" s="115"/>
      <c r="G79" s="115"/>
      <c r="H79" s="115"/>
    </row>
    <row r="80" spans="1:8" ht="15.75" thickBot="1" x14ac:dyDescent="0.3">
      <c r="A80" s="98" t="s">
        <v>42</v>
      </c>
      <c r="B80" s="98"/>
      <c r="C80" s="98"/>
      <c r="D80" s="98"/>
      <c r="E80" s="98"/>
      <c r="F80" s="98"/>
      <c r="G80" s="99"/>
      <c r="H80" s="99"/>
    </row>
    <row r="81" spans="1:9" ht="15.75" thickBot="1" x14ac:dyDescent="0.3">
      <c r="A81" s="100" t="s">
        <v>2</v>
      </c>
      <c r="B81" s="103" t="s">
        <v>30</v>
      </c>
      <c r="C81" s="104"/>
      <c r="D81" s="104"/>
      <c r="E81" s="104"/>
      <c r="F81" s="104"/>
      <c r="G81" s="105" t="s">
        <v>3</v>
      </c>
      <c r="H81" s="106"/>
    </row>
    <row r="82" spans="1:9" ht="105.75" thickBot="1" x14ac:dyDescent="0.3">
      <c r="A82" s="101"/>
      <c r="B82" s="96" t="s">
        <v>30</v>
      </c>
      <c r="C82" s="107"/>
      <c r="D82" s="25" t="s">
        <v>32</v>
      </c>
      <c r="E82" s="107" t="s">
        <v>4</v>
      </c>
      <c r="F82" s="97"/>
      <c r="G82" s="108"/>
      <c r="H82" s="109"/>
    </row>
    <row r="83" spans="1:9" ht="150.75" thickBot="1" x14ac:dyDescent="0.3">
      <c r="A83" s="102"/>
      <c r="B83" s="7" t="s">
        <v>36</v>
      </c>
      <c r="C83" s="7" t="s">
        <v>5</v>
      </c>
      <c r="D83" s="7" t="s">
        <v>33</v>
      </c>
      <c r="E83" s="7" t="s">
        <v>34</v>
      </c>
      <c r="F83" s="7" t="s">
        <v>35</v>
      </c>
      <c r="G83" s="110"/>
      <c r="H83" s="111"/>
    </row>
    <row r="84" spans="1:9" ht="15.75" thickBot="1" x14ac:dyDescent="0.3">
      <c r="A84" s="24">
        <v>1</v>
      </c>
      <c r="B84" s="7">
        <v>2</v>
      </c>
      <c r="C84" s="11">
        <v>3</v>
      </c>
      <c r="D84" s="7">
        <v>4</v>
      </c>
      <c r="E84" s="11">
        <v>5</v>
      </c>
      <c r="F84" s="7">
        <v>6</v>
      </c>
      <c r="G84" s="96" t="s">
        <v>37</v>
      </c>
      <c r="H84" s="97"/>
    </row>
    <row r="85" spans="1:9" ht="60.75" thickBot="1" x14ac:dyDescent="0.3">
      <c r="A85" s="2" t="s">
        <v>7</v>
      </c>
      <c r="B85" s="6">
        <f>B86</f>
        <v>34948.6</v>
      </c>
      <c r="C85" s="12"/>
      <c r="D85" s="6">
        <f>D86</f>
        <v>11036.400000000001</v>
      </c>
      <c r="E85" s="8" t="s">
        <v>8</v>
      </c>
      <c r="F85" s="8" t="s">
        <v>8</v>
      </c>
      <c r="G85" s="90">
        <f>46254-269</f>
        <v>45985</v>
      </c>
      <c r="H85" s="91"/>
    </row>
    <row r="86" spans="1:9" ht="15.75" thickBot="1" x14ac:dyDescent="0.3">
      <c r="A86" s="3" t="s">
        <v>9</v>
      </c>
      <c r="B86" s="6">
        <f>G86*76%</f>
        <v>34948.6</v>
      </c>
      <c r="C86" s="12"/>
      <c r="D86" s="26">
        <f>G86-B86</f>
        <v>11036.400000000001</v>
      </c>
      <c r="E86" s="8" t="s">
        <v>8</v>
      </c>
      <c r="F86" s="8" t="s">
        <v>8</v>
      </c>
      <c r="G86" s="90">
        <f>G85</f>
        <v>45985</v>
      </c>
      <c r="H86" s="91"/>
    </row>
    <row r="87" spans="1:9" ht="15.75" thickBot="1" x14ac:dyDescent="0.3">
      <c r="A87" s="2" t="s">
        <v>10</v>
      </c>
      <c r="B87" s="6">
        <v>0</v>
      </c>
      <c r="C87" s="12"/>
      <c r="D87" s="6">
        <v>0</v>
      </c>
      <c r="E87" s="8" t="s">
        <v>8</v>
      </c>
      <c r="F87" s="8" t="s">
        <v>8</v>
      </c>
      <c r="G87" s="90"/>
      <c r="H87" s="91"/>
    </row>
    <row r="88" spans="1:9" ht="60.75" thickBot="1" x14ac:dyDescent="0.3">
      <c r="A88" s="2" t="s">
        <v>11</v>
      </c>
      <c r="B88" s="6">
        <f>G88*76%</f>
        <v>8141.88</v>
      </c>
      <c r="C88" s="12"/>
      <c r="D88" s="26">
        <f>G88-B88</f>
        <v>2571.12</v>
      </c>
      <c r="E88" s="8" t="s">
        <v>8</v>
      </c>
      <c r="F88" s="8" t="s">
        <v>8</v>
      </c>
      <c r="G88" s="90">
        <f>10750-37</f>
        <v>10713</v>
      </c>
      <c r="H88" s="91"/>
    </row>
    <row r="89" spans="1:9" ht="30.75" thickBot="1" x14ac:dyDescent="0.3">
      <c r="A89" s="2" t="s">
        <v>12</v>
      </c>
      <c r="B89" s="6">
        <f>G89*76%</f>
        <v>232.56</v>
      </c>
      <c r="C89" s="12"/>
      <c r="D89" s="26">
        <f>G89-B89</f>
        <v>73.44</v>
      </c>
      <c r="E89" s="8" t="s">
        <v>8</v>
      </c>
      <c r="F89" s="8" t="s">
        <v>8</v>
      </c>
      <c r="G89" s="90">
        <f>269+37</f>
        <v>306</v>
      </c>
      <c r="H89" s="91"/>
      <c r="I89" s="10">
        <f>G85+G88+G89</f>
        <v>57004</v>
      </c>
    </row>
    <row r="90" spans="1:9" ht="15.75" thickBot="1" x14ac:dyDescent="0.3">
      <c r="A90" s="2" t="s">
        <v>13</v>
      </c>
      <c r="B90" s="6">
        <f>G90*56%</f>
        <v>0</v>
      </c>
      <c r="C90" s="6"/>
      <c r="D90" s="26">
        <f>G90-B90</f>
        <v>0</v>
      </c>
      <c r="E90" s="8" t="s">
        <v>8</v>
      </c>
      <c r="F90" s="8" t="s">
        <v>8</v>
      </c>
      <c r="G90" s="90">
        <v>0</v>
      </c>
      <c r="H90" s="91"/>
      <c r="I90">
        <f>37982+8321</f>
        <v>46303</v>
      </c>
    </row>
    <row r="91" spans="1:9" ht="30.75" thickBot="1" x14ac:dyDescent="0.3">
      <c r="A91" s="2" t="s">
        <v>14</v>
      </c>
      <c r="B91" s="6">
        <f>G91*56%</f>
        <v>575.12</v>
      </c>
      <c r="C91" s="6"/>
      <c r="D91" s="26">
        <f>G91-B91</f>
        <v>451.88</v>
      </c>
      <c r="E91" s="8" t="s">
        <v>8</v>
      </c>
      <c r="F91" s="8" t="s">
        <v>8</v>
      </c>
      <c r="G91" s="90">
        <v>1027</v>
      </c>
      <c r="H91" s="91"/>
    </row>
    <row r="92" spans="1:9" ht="45.75" thickBot="1" x14ac:dyDescent="0.3">
      <c r="A92" s="2" t="s">
        <v>15</v>
      </c>
      <c r="B92" s="8" t="s">
        <v>8</v>
      </c>
      <c r="C92" s="8" t="s">
        <v>8</v>
      </c>
      <c r="D92" s="6"/>
      <c r="E92" s="8" t="s">
        <v>8</v>
      </c>
      <c r="F92" s="8" t="s">
        <v>8</v>
      </c>
      <c r="G92" s="90"/>
      <c r="H92" s="91"/>
    </row>
    <row r="93" spans="1:9" ht="15.75" thickBot="1" x14ac:dyDescent="0.3">
      <c r="A93" s="2" t="s">
        <v>16</v>
      </c>
      <c r="B93" s="8" t="s">
        <v>8</v>
      </c>
      <c r="C93" s="8" t="s">
        <v>8</v>
      </c>
      <c r="D93" s="12"/>
      <c r="E93" s="6">
        <v>4500</v>
      </c>
      <c r="F93" s="6"/>
      <c r="G93" s="90">
        <v>4500</v>
      </c>
      <c r="H93" s="91"/>
    </row>
    <row r="94" spans="1:9" ht="15.75" thickBot="1" x14ac:dyDescent="0.3">
      <c r="A94" s="3" t="s">
        <v>17</v>
      </c>
      <c r="B94" s="6">
        <f>G94*56%</f>
        <v>0</v>
      </c>
      <c r="C94" s="8"/>
      <c r="D94" s="6"/>
      <c r="E94" s="6">
        <f>G94-B94</f>
        <v>0</v>
      </c>
      <c r="F94" s="6"/>
      <c r="G94" s="90">
        <v>0</v>
      </c>
      <c r="H94" s="91"/>
    </row>
    <row r="95" spans="1:9" ht="15.75" thickBot="1" x14ac:dyDescent="0.3">
      <c r="A95" s="3" t="s">
        <v>18</v>
      </c>
      <c r="B95" s="6"/>
      <c r="C95" s="8"/>
      <c r="D95" s="8"/>
      <c r="E95" s="6"/>
      <c r="F95" s="6"/>
      <c r="G95" s="90"/>
      <c r="H95" s="91"/>
    </row>
    <row r="96" spans="1:9" ht="45.75" thickBot="1" x14ac:dyDescent="0.3">
      <c r="A96" s="2" t="s">
        <v>19</v>
      </c>
      <c r="B96" s="6"/>
      <c r="C96" s="8"/>
      <c r="D96" s="6"/>
      <c r="E96" s="6"/>
      <c r="F96" s="6"/>
      <c r="G96" s="94"/>
      <c r="H96" s="95"/>
    </row>
    <row r="97" spans="1:8" ht="30.75" thickBot="1" x14ac:dyDescent="0.3">
      <c r="A97" s="2" t="s">
        <v>20</v>
      </c>
      <c r="B97" s="6">
        <f>G97*56%</f>
        <v>18.48</v>
      </c>
      <c r="C97" s="8"/>
      <c r="D97" s="6"/>
      <c r="E97" s="6">
        <f>G97-B97</f>
        <v>14.52</v>
      </c>
      <c r="F97" s="6"/>
      <c r="G97" s="90">
        <v>33</v>
      </c>
      <c r="H97" s="91"/>
    </row>
    <row r="98" spans="1:8" ht="30.75" thickBot="1" x14ac:dyDescent="0.3">
      <c r="A98" s="2" t="s">
        <v>21</v>
      </c>
      <c r="B98" s="6">
        <f>G98*56%</f>
        <v>957.04000000000008</v>
      </c>
      <c r="C98" s="6"/>
      <c r="D98" s="26">
        <f>G98-B98</f>
        <v>751.95999999999992</v>
      </c>
      <c r="E98" s="8" t="s">
        <v>8</v>
      </c>
      <c r="F98" s="8" t="s">
        <v>8</v>
      </c>
      <c r="G98" s="90">
        <v>1709</v>
      </c>
      <c r="H98" s="91"/>
    </row>
    <row r="99" spans="1:8" ht="15.75" thickBot="1" x14ac:dyDescent="0.3">
      <c r="A99" s="3" t="s">
        <v>22</v>
      </c>
      <c r="B99" s="6">
        <f>G99*56%</f>
        <v>40.320000000000007</v>
      </c>
      <c r="C99" s="6"/>
      <c r="D99" s="31">
        <f>G99-B99</f>
        <v>31.679999999999993</v>
      </c>
      <c r="E99" s="8" t="s">
        <v>8</v>
      </c>
      <c r="F99" s="8" t="s">
        <v>8</v>
      </c>
      <c r="G99" s="90">
        <f>54+18</f>
        <v>72</v>
      </c>
      <c r="H99" s="91"/>
    </row>
    <row r="100" spans="1:8" ht="15.75" thickBot="1" x14ac:dyDescent="0.3">
      <c r="A100" s="3" t="s">
        <v>23</v>
      </c>
      <c r="B100" s="8" t="s">
        <v>8</v>
      </c>
      <c r="C100" s="12"/>
      <c r="D100" s="8" t="s">
        <v>8</v>
      </c>
      <c r="E100" s="8" t="s">
        <v>8</v>
      </c>
      <c r="F100" s="8" t="s">
        <v>8</v>
      </c>
      <c r="G100" s="94"/>
      <c r="H100" s="95"/>
    </row>
    <row r="101" spans="1:8" ht="15.75" thickBot="1" x14ac:dyDescent="0.3">
      <c r="A101" s="3" t="s">
        <v>24</v>
      </c>
      <c r="B101" s="6">
        <f>G101*56%</f>
        <v>0</v>
      </c>
      <c r="C101" s="6"/>
      <c r="D101" s="6"/>
      <c r="E101" s="8" t="s">
        <v>8</v>
      </c>
      <c r="F101" s="8" t="s">
        <v>8</v>
      </c>
      <c r="G101" s="90"/>
      <c r="H101" s="91"/>
    </row>
    <row r="102" spans="1:8" ht="15.75" thickBot="1" x14ac:dyDescent="0.3">
      <c r="A102" s="4" t="s">
        <v>25</v>
      </c>
      <c r="B102" s="6">
        <f>SUM(B86:B101)</f>
        <v>44914</v>
      </c>
      <c r="C102" s="6"/>
      <c r="D102" s="6">
        <f>SUM(D86:D101)</f>
        <v>14916.48</v>
      </c>
      <c r="E102" s="6">
        <f>SUM(E86:E101)</f>
        <v>4514.5200000000004</v>
      </c>
      <c r="F102" s="6"/>
      <c r="G102" s="90">
        <f>SUM(G86:H101)</f>
        <v>64345</v>
      </c>
      <c r="H102" s="91"/>
    </row>
    <row r="103" spans="1:8" x14ac:dyDescent="0.25">
      <c r="A103" s="92" t="s">
        <v>26</v>
      </c>
      <c r="B103" s="92"/>
      <c r="C103" s="92"/>
      <c r="D103" s="92"/>
      <c r="E103" s="92"/>
      <c r="F103" s="92"/>
      <c r="G103" s="92"/>
      <c r="H103" s="92"/>
    </row>
    <row r="104" spans="1:8" x14ac:dyDescent="0.25">
      <c r="A104" s="93" t="s">
        <v>27</v>
      </c>
      <c r="B104" s="93"/>
      <c r="C104" s="93"/>
      <c r="D104" s="93"/>
      <c r="E104" s="93"/>
      <c r="F104" s="93"/>
      <c r="G104" s="93"/>
      <c r="H104" s="93"/>
    </row>
    <row r="105" spans="1:8" x14ac:dyDescent="0.25">
      <c r="A105" s="93" t="s">
        <v>28</v>
      </c>
      <c r="B105" s="93"/>
      <c r="C105" s="93"/>
      <c r="D105" s="93"/>
      <c r="E105" s="93"/>
      <c r="F105" s="93"/>
      <c r="G105" s="93"/>
      <c r="H105" s="93"/>
    </row>
    <row r="106" spans="1:8" x14ac:dyDescent="0.25">
      <c r="A106" s="1"/>
      <c r="B106" s="9"/>
      <c r="C106" s="9"/>
      <c r="D106" s="9"/>
      <c r="E106" s="9"/>
      <c r="F106" s="9"/>
      <c r="G106" s="9"/>
      <c r="H106" s="9"/>
    </row>
    <row r="107" spans="1:8" ht="15.75" x14ac:dyDescent="0.25">
      <c r="A107" s="5"/>
    </row>
    <row r="108" spans="1:8" x14ac:dyDescent="0.25">
      <c r="B108" s="13" t="s">
        <v>44</v>
      </c>
      <c r="C108" s="13">
        <v>37492</v>
      </c>
    </row>
    <row r="109" spans="1:8" x14ac:dyDescent="0.25">
      <c r="B109" s="10">
        <f>C108-B102</f>
        <v>-7422</v>
      </c>
      <c r="C109"/>
      <c r="D109"/>
      <c r="E109"/>
      <c r="F109"/>
      <c r="G109"/>
      <c r="H109"/>
    </row>
    <row r="116" spans="1:9" x14ac:dyDescent="0.25">
      <c r="A116" s="22"/>
      <c r="B116" s="23"/>
      <c r="C116" s="23"/>
      <c r="D116" s="23"/>
      <c r="E116" s="112" t="s">
        <v>29</v>
      </c>
      <c r="F116" s="112"/>
      <c r="G116" s="112"/>
      <c r="H116" s="112"/>
    </row>
    <row r="117" spans="1:9" x14ac:dyDescent="0.25">
      <c r="A117" s="113"/>
      <c r="B117" s="114"/>
      <c r="C117" s="114"/>
      <c r="D117" s="115"/>
      <c r="E117" s="115" t="s">
        <v>0</v>
      </c>
      <c r="F117" s="115"/>
      <c r="G117" s="115"/>
      <c r="H117" s="115"/>
    </row>
    <row r="118" spans="1:9" x14ac:dyDescent="0.25">
      <c r="A118" s="113"/>
      <c r="B118" s="114"/>
      <c r="C118" s="114"/>
      <c r="D118" s="115"/>
      <c r="E118" s="115" t="s">
        <v>1</v>
      </c>
      <c r="F118" s="115"/>
      <c r="G118" s="115"/>
      <c r="H118" s="115"/>
    </row>
    <row r="119" spans="1:9" ht="15.75" thickBot="1" x14ac:dyDescent="0.3">
      <c r="A119" s="98" t="s">
        <v>72</v>
      </c>
      <c r="B119" s="98"/>
      <c r="C119" s="98"/>
      <c r="D119" s="98"/>
      <c r="E119" s="98"/>
      <c r="F119" s="98"/>
      <c r="G119" s="99"/>
      <c r="H119" s="99"/>
    </row>
    <row r="120" spans="1:9" ht="15.75" thickBot="1" x14ac:dyDescent="0.3">
      <c r="A120" s="100" t="s">
        <v>2</v>
      </c>
      <c r="B120" s="103" t="s">
        <v>30</v>
      </c>
      <c r="C120" s="104"/>
      <c r="D120" s="104"/>
      <c r="E120" s="104"/>
      <c r="F120" s="104"/>
      <c r="G120" s="105" t="s">
        <v>3</v>
      </c>
      <c r="H120" s="106"/>
    </row>
    <row r="121" spans="1:9" ht="105.75" thickBot="1" x14ac:dyDescent="0.3">
      <c r="A121" s="101"/>
      <c r="B121" s="96" t="s">
        <v>30</v>
      </c>
      <c r="C121" s="107"/>
      <c r="D121" s="25" t="s">
        <v>32</v>
      </c>
      <c r="E121" s="107" t="s">
        <v>4</v>
      </c>
      <c r="F121" s="97"/>
      <c r="G121" s="108"/>
      <c r="H121" s="109"/>
    </row>
    <row r="122" spans="1:9" ht="150.75" thickBot="1" x14ac:dyDescent="0.3">
      <c r="A122" s="102"/>
      <c r="B122" s="7" t="s">
        <v>36</v>
      </c>
      <c r="C122" s="7" t="s">
        <v>5</v>
      </c>
      <c r="D122" s="7" t="s">
        <v>33</v>
      </c>
      <c r="E122" s="7" t="s">
        <v>34</v>
      </c>
      <c r="F122" s="7" t="s">
        <v>35</v>
      </c>
      <c r="G122" s="110"/>
      <c r="H122" s="111"/>
    </row>
    <row r="123" spans="1:9" ht="15.75" thickBot="1" x14ac:dyDescent="0.3">
      <c r="A123" s="24">
        <v>1</v>
      </c>
      <c r="B123" s="7">
        <v>2</v>
      </c>
      <c r="C123" s="11">
        <v>3</v>
      </c>
      <c r="D123" s="7">
        <v>4</v>
      </c>
      <c r="E123" s="11">
        <v>5</v>
      </c>
      <c r="F123" s="7">
        <v>6</v>
      </c>
      <c r="G123" s="96" t="s">
        <v>37</v>
      </c>
      <c r="H123" s="97"/>
    </row>
    <row r="124" spans="1:9" ht="60.75" thickBot="1" x14ac:dyDescent="0.3">
      <c r="A124" s="2" t="s">
        <v>7</v>
      </c>
      <c r="B124" s="6">
        <f>B125</f>
        <v>46913.279999999999</v>
      </c>
      <c r="C124" s="12"/>
      <c r="D124" s="6">
        <f>D125</f>
        <v>14814.720000000001</v>
      </c>
      <c r="E124" s="8" t="s">
        <v>8</v>
      </c>
      <c r="F124" s="8" t="s">
        <v>8</v>
      </c>
      <c r="G124" s="90">
        <f>62911-1183</f>
        <v>61728</v>
      </c>
      <c r="H124" s="91"/>
    </row>
    <row r="125" spans="1:9" ht="15.75" thickBot="1" x14ac:dyDescent="0.3">
      <c r="A125" s="3" t="s">
        <v>9</v>
      </c>
      <c r="B125" s="6">
        <f>G125*76%</f>
        <v>46913.279999999999</v>
      </c>
      <c r="C125" s="12"/>
      <c r="D125" s="26">
        <f>G125-B125</f>
        <v>14814.720000000001</v>
      </c>
      <c r="E125" s="8" t="s">
        <v>8</v>
      </c>
      <c r="F125" s="8" t="s">
        <v>8</v>
      </c>
      <c r="G125" s="90">
        <f>G124-G126</f>
        <v>61728</v>
      </c>
      <c r="H125" s="91"/>
    </row>
    <row r="126" spans="1:9" ht="15.75" thickBot="1" x14ac:dyDescent="0.3">
      <c r="A126" s="2" t="s">
        <v>10</v>
      </c>
      <c r="B126" s="6">
        <v>0</v>
      </c>
      <c r="C126" s="12"/>
      <c r="D126" s="6">
        <v>0</v>
      </c>
      <c r="E126" s="8" t="s">
        <v>8</v>
      </c>
      <c r="F126" s="8" t="s">
        <v>8</v>
      </c>
      <c r="G126" s="90"/>
      <c r="H126" s="91"/>
    </row>
    <row r="127" spans="1:9" ht="60.75" thickBot="1" x14ac:dyDescent="0.3">
      <c r="A127" s="2" t="s">
        <v>11</v>
      </c>
      <c r="B127" s="6">
        <f>G127*76%</f>
        <v>11887.92</v>
      </c>
      <c r="C127" s="12"/>
      <c r="D127" s="26">
        <f>G127-B127</f>
        <v>3754.08</v>
      </c>
      <c r="E127" s="8" t="s">
        <v>8</v>
      </c>
      <c r="F127" s="8" t="s">
        <v>8</v>
      </c>
      <c r="G127" s="90">
        <f>15893-251</f>
        <v>15642</v>
      </c>
      <c r="H127" s="91"/>
    </row>
    <row r="128" spans="1:9" ht="30.75" thickBot="1" x14ac:dyDescent="0.3">
      <c r="A128" s="2" t="s">
        <v>12</v>
      </c>
      <c r="B128" s="6">
        <f>G128*76%</f>
        <v>1089.8399999999999</v>
      </c>
      <c r="C128" s="12"/>
      <c r="D128" s="26">
        <f>G128-B128</f>
        <v>344.16000000000008</v>
      </c>
      <c r="E128" s="8" t="s">
        <v>8</v>
      </c>
      <c r="F128" s="8" t="s">
        <v>8</v>
      </c>
      <c r="G128" s="90">
        <f>251+1183</f>
        <v>1434</v>
      </c>
      <c r="H128" s="91"/>
      <c r="I128" s="10">
        <f>G128+G127+G124</f>
        <v>78804</v>
      </c>
    </row>
    <row r="129" spans="1:8" ht="15.75" thickBot="1" x14ac:dyDescent="0.3">
      <c r="A129" s="2" t="s">
        <v>13</v>
      </c>
      <c r="B129" s="6">
        <f>G129*56%</f>
        <v>0</v>
      </c>
      <c r="C129" s="6"/>
      <c r="D129" s="26">
        <f>G129-B129</f>
        <v>0</v>
      </c>
      <c r="E129" s="8" t="s">
        <v>8</v>
      </c>
      <c r="F129" s="8" t="s">
        <v>8</v>
      </c>
      <c r="G129" s="90">
        <v>0</v>
      </c>
      <c r="H129" s="91"/>
    </row>
    <row r="130" spans="1:8" ht="30.75" thickBot="1" x14ac:dyDescent="0.3">
      <c r="A130" s="2" t="s">
        <v>14</v>
      </c>
      <c r="B130" s="6">
        <f>G130*56%</f>
        <v>698.32</v>
      </c>
      <c r="C130" s="6"/>
      <c r="D130" s="26">
        <f>G130-B130</f>
        <v>548.67999999999995</v>
      </c>
      <c r="E130" s="8" t="s">
        <v>8</v>
      </c>
      <c r="F130" s="8" t="s">
        <v>8</v>
      </c>
      <c r="G130" s="90">
        <v>1247</v>
      </c>
      <c r="H130" s="91"/>
    </row>
    <row r="131" spans="1:8" ht="45.75" thickBot="1" x14ac:dyDescent="0.3">
      <c r="A131" s="2" t="s">
        <v>15</v>
      </c>
      <c r="B131" s="8" t="s">
        <v>8</v>
      </c>
      <c r="C131" s="8" t="s">
        <v>8</v>
      </c>
      <c r="D131" s="6"/>
      <c r="E131" s="8" t="s">
        <v>8</v>
      </c>
      <c r="F131" s="8" t="s">
        <v>8</v>
      </c>
      <c r="G131" s="90"/>
      <c r="H131" s="91"/>
    </row>
    <row r="132" spans="1:8" ht="15.75" thickBot="1" x14ac:dyDescent="0.3">
      <c r="A132" s="2" t="s">
        <v>16</v>
      </c>
      <c r="B132" s="8" t="s">
        <v>8</v>
      </c>
      <c r="C132" s="8" t="s">
        <v>8</v>
      </c>
      <c r="D132" s="12"/>
      <c r="E132" s="6">
        <v>6000</v>
      </c>
      <c r="F132" s="6"/>
      <c r="G132" s="90">
        <v>6000</v>
      </c>
      <c r="H132" s="91"/>
    </row>
    <row r="133" spans="1:8" ht="15.75" thickBot="1" x14ac:dyDescent="0.3">
      <c r="A133" s="3" t="s">
        <v>17</v>
      </c>
      <c r="B133" s="6">
        <f>G133*56%</f>
        <v>0</v>
      </c>
      <c r="C133" s="8"/>
      <c r="D133" s="6"/>
      <c r="E133" s="6">
        <f>G133-B133</f>
        <v>0</v>
      </c>
      <c r="F133" s="6"/>
      <c r="G133" s="90">
        <v>0</v>
      </c>
      <c r="H133" s="91"/>
    </row>
    <row r="134" spans="1:8" ht="15.75" thickBot="1" x14ac:dyDescent="0.3">
      <c r="A134" s="3" t="s">
        <v>18</v>
      </c>
      <c r="B134" s="6"/>
      <c r="C134" s="8"/>
      <c r="D134" s="8"/>
      <c r="E134" s="6"/>
      <c r="F134" s="6"/>
      <c r="G134" s="90"/>
      <c r="H134" s="91"/>
    </row>
    <row r="135" spans="1:8" ht="45.75" thickBot="1" x14ac:dyDescent="0.3">
      <c r="A135" s="2" t="s">
        <v>19</v>
      </c>
      <c r="B135" s="6"/>
      <c r="C135" s="8"/>
      <c r="D135" s="6"/>
      <c r="E135" s="6"/>
      <c r="F135" s="6"/>
      <c r="G135" s="94"/>
      <c r="H135" s="95"/>
    </row>
    <row r="136" spans="1:8" ht="30.75" thickBot="1" x14ac:dyDescent="0.3">
      <c r="A136" s="2" t="s">
        <v>20</v>
      </c>
      <c r="B136" s="6">
        <f>G136*56%</f>
        <v>24.64</v>
      </c>
      <c r="C136" s="8"/>
      <c r="D136" s="6"/>
      <c r="E136" s="6">
        <f>G136-B136</f>
        <v>19.36</v>
      </c>
      <c r="F136" s="6"/>
      <c r="G136" s="90">
        <v>44</v>
      </c>
      <c r="H136" s="91"/>
    </row>
    <row r="137" spans="1:8" ht="30.75" thickBot="1" x14ac:dyDescent="0.3">
      <c r="A137" s="2" t="s">
        <v>21</v>
      </c>
      <c r="B137" s="6">
        <f>G137*56%</f>
        <v>1557.3600000000001</v>
      </c>
      <c r="C137" s="6"/>
      <c r="D137" s="26">
        <f>G137-B137</f>
        <v>1223.6399999999999</v>
      </c>
      <c r="E137" s="8" t="s">
        <v>8</v>
      </c>
      <c r="F137" s="8" t="s">
        <v>8</v>
      </c>
      <c r="G137" s="90">
        <v>2781</v>
      </c>
      <c r="H137" s="91"/>
    </row>
    <row r="138" spans="1:8" ht="15.75" thickBot="1" x14ac:dyDescent="0.3">
      <c r="A138" s="3" t="s">
        <v>22</v>
      </c>
      <c r="B138" s="6">
        <f>G138*56%</f>
        <v>161.28000000000003</v>
      </c>
      <c r="C138" s="6"/>
      <c r="D138" s="31">
        <f>G138-B138</f>
        <v>126.71999999999997</v>
      </c>
      <c r="E138" s="8" t="s">
        <v>8</v>
      </c>
      <c r="F138" s="8" t="s">
        <v>8</v>
      </c>
      <c r="G138" s="90">
        <f>270+18</f>
        <v>288</v>
      </c>
      <c r="H138" s="91"/>
    </row>
    <row r="139" spans="1:8" ht="15.75" thickBot="1" x14ac:dyDescent="0.3">
      <c r="A139" s="3" t="s">
        <v>23</v>
      </c>
      <c r="B139" s="8" t="s">
        <v>8</v>
      </c>
      <c r="C139" s="12"/>
      <c r="D139" s="8" t="s">
        <v>8</v>
      </c>
      <c r="E139" s="8" t="s">
        <v>8</v>
      </c>
      <c r="F139" s="8" t="s">
        <v>8</v>
      </c>
      <c r="G139" s="94"/>
      <c r="H139" s="95"/>
    </row>
    <row r="140" spans="1:8" ht="15.75" thickBot="1" x14ac:dyDescent="0.3">
      <c r="A140" s="3" t="s">
        <v>24</v>
      </c>
      <c r="B140" s="6">
        <f>G140*56%</f>
        <v>0</v>
      </c>
      <c r="C140" s="6"/>
      <c r="D140" s="6"/>
      <c r="E140" s="8" t="s">
        <v>8</v>
      </c>
      <c r="F140" s="8" t="s">
        <v>8</v>
      </c>
      <c r="G140" s="90"/>
      <c r="H140" s="91"/>
    </row>
    <row r="141" spans="1:8" ht="15.75" thickBot="1" x14ac:dyDescent="0.3">
      <c r="A141" s="4" t="s">
        <v>25</v>
      </c>
      <c r="B141" s="6">
        <f>SUM(B125:B140)</f>
        <v>62332.639999999992</v>
      </c>
      <c r="C141" s="6"/>
      <c r="D141" s="6">
        <f>SUM(D125:D140)</f>
        <v>20812.000000000004</v>
      </c>
      <c r="E141" s="6">
        <f>SUM(E125:E140)</f>
        <v>6019.36</v>
      </c>
      <c r="F141" s="6"/>
      <c r="G141" s="90">
        <f>SUM(G125:H140)</f>
        <v>89164</v>
      </c>
      <c r="H141" s="91"/>
    </row>
    <row r="142" spans="1:8" x14ac:dyDescent="0.25">
      <c r="A142" s="92" t="s">
        <v>26</v>
      </c>
      <c r="B142" s="92"/>
      <c r="C142" s="92"/>
      <c r="D142" s="92"/>
      <c r="E142" s="92"/>
      <c r="F142" s="92"/>
      <c r="G142" s="92"/>
      <c r="H142" s="92"/>
    </row>
    <row r="143" spans="1:8" x14ac:dyDescent="0.25">
      <c r="A143" s="93" t="s">
        <v>27</v>
      </c>
      <c r="B143" s="93"/>
      <c r="C143" s="93"/>
      <c r="D143" s="93"/>
      <c r="E143" s="93"/>
      <c r="F143" s="93"/>
      <c r="G143" s="93"/>
      <c r="H143" s="93"/>
    </row>
    <row r="144" spans="1:8" x14ac:dyDescent="0.25">
      <c r="A144" s="93" t="s">
        <v>28</v>
      </c>
      <c r="B144" s="93"/>
      <c r="C144" s="93"/>
      <c r="D144" s="93"/>
      <c r="E144" s="93"/>
      <c r="F144" s="93"/>
      <c r="G144" s="93"/>
      <c r="H144" s="93"/>
    </row>
    <row r="145" spans="1:8" x14ac:dyDescent="0.25">
      <c r="A145" s="1"/>
      <c r="B145" s="9"/>
      <c r="C145" s="9"/>
      <c r="D145" s="9"/>
      <c r="E145" s="9"/>
      <c r="F145" s="9"/>
      <c r="G145" s="9"/>
      <c r="H145" s="9"/>
    </row>
    <row r="146" spans="1:8" ht="15.75" x14ac:dyDescent="0.25">
      <c r="A146" s="5"/>
    </row>
    <row r="147" spans="1:8" x14ac:dyDescent="0.25">
      <c r="B147" s="13" t="s">
        <v>73</v>
      </c>
      <c r="C147" s="13">
        <v>86545</v>
      </c>
    </row>
    <row r="148" spans="1:8" x14ac:dyDescent="0.25">
      <c r="B148" s="10">
        <f>C147-B141</f>
        <v>24212.360000000008</v>
      </c>
      <c r="C148"/>
      <c r="D148"/>
      <c r="E148"/>
      <c r="F148"/>
      <c r="G148"/>
      <c r="H148"/>
    </row>
    <row r="155" spans="1:8" x14ac:dyDescent="0.25">
      <c r="A155" s="22"/>
      <c r="B155" s="23"/>
      <c r="C155" s="23"/>
      <c r="D155" s="23"/>
      <c r="E155" s="112" t="s">
        <v>29</v>
      </c>
      <c r="F155" s="112"/>
      <c r="G155" s="112"/>
      <c r="H155" s="112"/>
    </row>
    <row r="156" spans="1:8" x14ac:dyDescent="0.25">
      <c r="A156" s="113"/>
      <c r="B156" s="114"/>
      <c r="C156" s="114"/>
      <c r="D156" s="115"/>
      <c r="E156" s="115" t="s">
        <v>0</v>
      </c>
      <c r="F156" s="115"/>
      <c r="G156" s="115"/>
      <c r="H156" s="115"/>
    </row>
    <row r="157" spans="1:8" x14ac:dyDescent="0.25">
      <c r="A157" s="113"/>
      <c r="B157" s="114"/>
      <c r="C157" s="114"/>
      <c r="D157" s="115"/>
      <c r="E157" s="115" t="s">
        <v>1</v>
      </c>
      <c r="F157" s="115"/>
      <c r="G157" s="115"/>
      <c r="H157" s="115"/>
    </row>
    <row r="158" spans="1:8" ht="15.75" thickBot="1" x14ac:dyDescent="0.3">
      <c r="A158" s="98" t="s">
        <v>74</v>
      </c>
      <c r="B158" s="98"/>
      <c r="C158" s="98"/>
      <c r="D158" s="98"/>
      <c r="E158" s="98"/>
      <c r="F158" s="98"/>
      <c r="G158" s="99"/>
      <c r="H158" s="99"/>
    </row>
    <row r="159" spans="1:8" ht="15.75" thickBot="1" x14ac:dyDescent="0.3">
      <c r="A159" s="100" t="s">
        <v>2</v>
      </c>
      <c r="B159" s="103" t="s">
        <v>30</v>
      </c>
      <c r="C159" s="104"/>
      <c r="D159" s="104"/>
      <c r="E159" s="104"/>
      <c r="F159" s="104"/>
      <c r="G159" s="105" t="s">
        <v>3</v>
      </c>
      <c r="H159" s="106"/>
    </row>
    <row r="160" spans="1:8" ht="105.75" thickBot="1" x14ac:dyDescent="0.3">
      <c r="A160" s="101"/>
      <c r="B160" s="96" t="s">
        <v>30</v>
      </c>
      <c r="C160" s="107"/>
      <c r="D160" s="25" t="s">
        <v>32</v>
      </c>
      <c r="E160" s="107" t="s">
        <v>4</v>
      </c>
      <c r="F160" s="97"/>
      <c r="G160" s="108"/>
      <c r="H160" s="109"/>
    </row>
    <row r="161" spans="1:8" ht="150.75" thickBot="1" x14ac:dyDescent="0.3">
      <c r="A161" s="102"/>
      <c r="B161" s="7" t="s">
        <v>36</v>
      </c>
      <c r="C161" s="7" t="s">
        <v>5</v>
      </c>
      <c r="D161" s="7" t="s">
        <v>33</v>
      </c>
      <c r="E161" s="7" t="s">
        <v>34</v>
      </c>
      <c r="F161" s="7" t="s">
        <v>35</v>
      </c>
      <c r="G161" s="110"/>
      <c r="H161" s="111"/>
    </row>
    <row r="162" spans="1:8" ht="15.75" thickBot="1" x14ac:dyDescent="0.3">
      <c r="A162" s="24">
        <v>1</v>
      </c>
      <c r="B162" s="7">
        <v>2</v>
      </c>
      <c r="C162" s="11">
        <v>3</v>
      </c>
      <c r="D162" s="7">
        <v>4</v>
      </c>
      <c r="E162" s="11">
        <v>5</v>
      </c>
      <c r="F162" s="7">
        <v>6</v>
      </c>
      <c r="G162" s="96" t="s">
        <v>37</v>
      </c>
      <c r="H162" s="97"/>
    </row>
    <row r="163" spans="1:8" ht="60.75" thickBot="1" x14ac:dyDescent="0.3">
      <c r="A163" s="2" t="s">
        <v>7</v>
      </c>
      <c r="B163" s="6">
        <f>B164</f>
        <v>58822.48</v>
      </c>
      <c r="C163" s="12"/>
      <c r="D163" s="6">
        <f>D164</f>
        <v>18575.519999999997</v>
      </c>
      <c r="E163" s="8" t="s">
        <v>8</v>
      </c>
      <c r="F163" s="8" t="s">
        <v>8</v>
      </c>
      <c r="G163" s="90">
        <f>78668-1270</f>
        <v>77398</v>
      </c>
      <c r="H163" s="91"/>
    </row>
    <row r="164" spans="1:8" ht="15.75" thickBot="1" x14ac:dyDescent="0.3">
      <c r="A164" s="3" t="s">
        <v>9</v>
      </c>
      <c r="B164" s="6">
        <f>G164*76%</f>
        <v>58822.48</v>
      </c>
      <c r="C164" s="12"/>
      <c r="D164" s="26">
        <f>G164-B164</f>
        <v>18575.519999999997</v>
      </c>
      <c r="E164" s="8" t="s">
        <v>8</v>
      </c>
      <c r="F164" s="8" t="s">
        <v>8</v>
      </c>
      <c r="G164" s="90">
        <f>G163-G165</f>
        <v>77398</v>
      </c>
      <c r="H164" s="91"/>
    </row>
    <row r="165" spans="1:8" ht="15.75" thickBot="1" x14ac:dyDescent="0.3">
      <c r="A165" s="2" t="s">
        <v>10</v>
      </c>
      <c r="B165" s="6">
        <v>0</v>
      </c>
      <c r="C165" s="12"/>
      <c r="D165" s="6">
        <v>0</v>
      </c>
      <c r="E165" s="8" t="s">
        <v>8</v>
      </c>
      <c r="F165" s="8" t="s">
        <v>8</v>
      </c>
      <c r="G165" s="116"/>
      <c r="H165" s="91"/>
    </row>
    <row r="166" spans="1:8" ht="60.75" thickBot="1" x14ac:dyDescent="0.3">
      <c r="A166" s="2" t="s">
        <v>11</v>
      </c>
      <c r="B166" s="6">
        <f>G166*76%</f>
        <v>15219</v>
      </c>
      <c r="C166" s="12"/>
      <c r="D166" s="26">
        <f>G166-B166</f>
        <v>4806</v>
      </c>
      <c r="E166" s="8" t="s">
        <v>8</v>
      </c>
      <c r="F166" s="8" t="s">
        <v>8</v>
      </c>
      <c r="G166" s="90">
        <f>20293-268</f>
        <v>20025</v>
      </c>
      <c r="H166" s="91"/>
    </row>
    <row r="167" spans="1:8" ht="30.75" thickBot="1" x14ac:dyDescent="0.3">
      <c r="A167" s="2" t="s">
        <v>12</v>
      </c>
      <c r="B167" s="6">
        <f>G167*76%</f>
        <v>1168.8800000000001</v>
      </c>
      <c r="C167" s="12"/>
      <c r="D167" s="26">
        <f>G167-B167</f>
        <v>369.11999999999989</v>
      </c>
      <c r="E167" s="8" t="s">
        <v>8</v>
      </c>
      <c r="F167" s="8" t="s">
        <v>8</v>
      </c>
      <c r="G167" s="90">
        <f>1270+268</f>
        <v>1538</v>
      </c>
      <c r="H167" s="91"/>
    </row>
    <row r="168" spans="1:8" ht="15.75" thickBot="1" x14ac:dyDescent="0.3">
      <c r="A168" s="2" t="s">
        <v>13</v>
      </c>
      <c r="B168" s="6">
        <f>G168*56%</f>
        <v>0</v>
      </c>
      <c r="C168" s="6"/>
      <c r="D168" s="26">
        <f>G168-B168</f>
        <v>0</v>
      </c>
      <c r="E168" s="8" t="s">
        <v>8</v>
      </c>
      <c r="F168" s="8" t="s">
        <v>8</v>
      </c>
      <c r="G168" s="90">
        <v>0</v>
      </c>
      <c r="H168" s="91"/>
    </row>
    <row r="169" spans="1:8" ht="30.75" thickBot="1" x14ac:dyDescent="0.3">
      <c r="A169" s="2" t="s">
        <v>14</v>
      </c>
      <c r="B169" s="6">
        <f>G169*56%</f>
        <v>1438.0800000000002</v>
      </c>
      <c r="C169" s="6"/>
      <c r="D169" s="26">
        <f>G169-B169</f>
        <v>1129.9199999999998</v>
      </c>
      <c r="E169" s="8" t="s">
        <v>8</v>
      </c>
      <c r="F169" s="8" t="s">
        <v>8</v>
      </c>
      <c r="G169" s="90">
        <v>2568</v>
      </c>
      <c r="H169" s="91"/>
    </row>
    <row r="170" spans="1:8" ht="45.75" thickBot="1" x14ac:dyDescent="0.3">
      <c r="A170" s="2" t="s">
        <v>15</v>
      </c>
      <c r="B170" s="8" t="s">
        <v>8</v>
      </c>
      <c r="C170" s="8" t="s">
        <v>8</v>
      </c>
      <c r="D170" s="6"/>
      <c r="E170" s="8" t="s">
        <v>8</v>
      </c>
      <c r="F170" s="8" t="s">
        <v>8</v>
      </c>
      <c r="G170" s="90"/>
      <c r="H170" s="91"/>
    </row>
    <row r="171" spans="1:8" ht="15.75" thickBot="1" x14ac:dyDescent="0.3">
      <c r="A171" s="2" t="s">
        <v>16</v>
      </c>
      <c r="B171" s="8" t="s">
        <v>8</v>
      </c>
      <c r="C171" s="8" t="s">
        <v>8</v>
      </c>
      <c r="D171" s="12"/>
      <c r="E171" s="6">
        <v>7500</v>
      </c>
      <c r="F171" s="6"/>
      <c r="G171" s="90">
        <v>7500</v>
      </c>
      <c r="H171" s="91"/>
    </row>
    <row r="172" spans="1:8" ht="15.75" thickBot="1" x14ac:dyDescent="0.3">
      <c r="A172" s="3" t="s">
        <v>17</v>
      </c>
      <c r="B172" s="6">
        <f>G172*56%</f>
        <v>0</v>
      </c>
      <c r="C172" s="8"/>
      <c r="D172" s="6"/>
      <c r="E172" s="6">
        <f>G172-B172</f>
        <v>0</v>
      </c>
      <c r="F172" s="6"/>
      <c r="G172" s="90">
        <v>0</v>
      </c>
      <c r="H172" s="91"/>
    </row>
    <row r="173" spans="1:8" ht="15.75" thickBot="1" x14ac:dyDescent="0.3">
      <c r="A173" s="3" t="s">
        <v>18</v>
      </c>
      <c r="B173" s="6"/>
      <c r="C173" s="8"/>
      <c r="D173" s="8"/>
      <c r="E173" s="6"/>
      <c r="F173" s="6"/>
      <c r="G173" s="90"/>
      <c r="H173" s="91"/>
    </row>
    <row r="174" spans="1:8" ht="45.75" thickBot="1" x14ac:dyDescent="0.3">
      <c r="A174" s="2" t="s">
        <v>19</v>
      </c>
      <c r="B174" s="6"/>
      <c r="C174" s="8"/>
      <c r="D174" s="6"/>
      <c r="E174" s="6"/>
      <c r="F174" s="6"/>
      <c r="G174" s="94"/>
      <c r="H174" s="95"/>
    </row>
    <row r="175" spans="1:8" ht="30.75" thickBot="1" x14ac:dyDescent="0.3">
      <c r="A175" s="2" t="s">
        <v>20</v>
      </c>
      <c r="B175" s="6">
        <f>G175*56%</f>
        <v>30.800000000000004</v>
      </c>
      <c r="C175" s="8"/>
      <c r="D175" s="6"/>
      <c r="E175" s="6">
        <f>G175-B175</f>
        <v>24.199999999999996</v>
      </c>
      <c r="F175" s="6"/>
      <c r="G175" s="90">
        <v>55</v>
      </c>
      <c r="H175" s="91"/>
    </row>
    <row r="176" spans="1:8" ht="30.75" thickBot="1" x14ac:dyDescent="0.3">
      <c r="A176" s="2" t="s">
        <v>21</v>
      </c>
      <c r="B176" s="6">
        <f>G176*56%</f>
        <v>1933.1200000000001</v>
      </c>
      <c r="C176" s="6"/>
      <c r="D176" s="26">
        <f>G176-B176</f>
        <v>1518.8799999999999</v>
      </c>
      <c r="E176" s="8" t="s">
        <v>8</v>
      </c>
      <c r="F176" s="8" t="s">
        <v>8</v>
      </c>
      <c r="G176" s="90">
        <v>3452</v>
      </c>
      <c r="H176" s="91"/>
    </row>
    <row r="177" spans="1:8" ht="15.75" thickBot="1" x14ac:dyDescent="0.3">
      <c r="A177" s="3" t="s">
        <v>22</v>
      </c>
      <c r="B177" s="6">
        <f>G177*56%</f>
        <v>190.96</v>
      </c>
      <c r="C177" s="6"/>
      <c r="D177" s="26">
        <f>G177-B177</f>
        <v>150.04</v>
      </c>
      <c r="E177" s="8" t="s">
        <v>8</v>
      </c>
      <c r="F177" s="8" t="s">
        <v>8</v>
      </c>
      <c r="G177" s="90">
        <f>323+18</f>
        <v>341</v>
      </c>
      <c r="H177" s="91"/>
    </row>
    <row r="178" spans="1:8" ht="15.75" thickBot="1" x14ac:dyDescent="0.3">
      <c r="A178" s="3" t="s">
        <v>23</v>
      </c>
      <c r="B178" s="8" t="s">
        <v>8</v>
      </c>
      <c r="C178" s="12"/>
      <c r="D178" s="8" t="s">
        <v>8</v>
      </c>
      <c r="E178" s="8" t="s">
        <v>8</v>
      </c>
      <c r="F178" s="8" t="s">
        <v>8</v>
      </c>
      <c r="G178" s="94"/>
      <c r="H178" s="95"/>
    </row>
    <row r="179" spans="1:8" ht="15.75" thickBot="1" x14ac:dyDescent="0.3">
      <c r="A179" s="3" t="s">
        <v>24</v>
      </c>
      <c r="B179" s="6">
        <f>G179*56%</f>
        <v>0</v>
      </c>
      <c r="C179" s="6"/>
      <c r="D179" s="6"/>
      <c r="E179" s="8" t="s">
        <v>8</v>
      </c>
      <c r="F179" s="8" t="s">
        <v>8</v>
      </c>
      <c r="G179" s="90"/>
      <c r="H179" s="91"/>
    </row>
    <row r="180" spans="1:8" ht="15.75" thickBot="1" x14ac:dyDescent="0.3">
      <c r="A180" s="4" t="s">
        <v>25</v>
      </c>
      <c r="B180" s="6">
        <f>SUM(B164:B179)</f>
        <v>78803.320000000022</v>
      </c>
      <c r="C180" s="6"/>
      <c r="D180" s="6">
        <f>SUM(D164:D179)</f>
        <v>26549.479999999996</v>
      </c>
      <c r="E180" s="6">
        <f>SUM(E164:E179)</f>
        <v>7524.2</v>
      </c>
      <c r="F180" s="6"/>
      <c r="G180" s="90">
        <f>SUM(G164:H179)</f>
        <v>112877</v>
      </c>
      <c r="H180" s="91"/>
    </row>
    <row r="181" spans="1:8" x14ac:dyDescent="0.25">
      <c r="A181" s="92" t="s">
        <v>26</v>
      </c>
      <c r="B181" s="92"/>
      <c r="C181" s="92"/>
      <c r="D181" s="92"/>
      <c r="E181" s="92"/>
      <c r="F181" s="92"/>
      <c r="G181" s="92"/>
      <c r="H181" s="92"/>
    </row>
    <row r="182" spans="1:8" x14ac:dyDescent="0.25">
      <c r="A182" s="93" t="s">
        <v>27</v>
      </c>
      <c r="B182" s="93"/>
      <c r="C182" s="93"/>
      <c r="D182" s="93"/>
      <c r="E182" s="93"/>
      <c r="F182" s="93"/>
      <c r="G182" s="93"/>
      <c r="H182" s="93"/>
    </row>
    <row r="183" spans="1:8" x14ac:dyDescent="0.25">
      <c r="A183" s="93" t="s">
        <v>28</v>
      </c>
      <c r="B183" s="93"/>
      <c r="C183" s="93"/>
      <c r="D183" s="93"/>
      <c r="E183" s="93"/>
      <c r="F183" s="93"/>
      <c r="G183" s="93"/>
      <c r="H183" s="93"/>
    </row>
    <row r="184" spans="1:8" x14ac:dyDescent="0.25">
      <c r="A184" s="1"/>
      <c r="B184" s="9"/>
      <c r="C184" s="9"/>
      <c r="D184" s="9"/>
      <c r="E184" s="9"/>
      <c r="F184" s="9"/>
      <c r="G184" s="9"/>
      <c r="H184" s="9"/>
    </row>
    <row r="185" spans="1:8" ht="15.75" x14ac:dyDescent="0.25">
      <c r="A185" s="5"/>
    </row>
    <row r="186" spans="1:8" x14ac:dyDescent="0.25">
      <c r="B186" s="13" t="s">
        <v>75</v>
      </c>
      <c r="C186" s="13">
        <v>105358</v>
      </c>
    </row>
    <row r="187" spans="1:8" x14ac:dyDescent="0.25">
      <c r="C187" s="10">
        <f>C186-B180</f>
        <v>26554.679999999978</v>
      </c>
      <c r="D187"/>
      <c r="E187"/>
      <c r="F187"/>
      <c r="G187"/>
      <c r="H187"/>
    </row>
    <row r="195" spans="1:9" x14ac:dyDescent="0.25">
      <c r="A195" s="22"/>
      <c r="B195" s="23"/>
      <c r="C195" s="23"/>
      <c r="D195" s="23"/>
      <c r="E195" s="112" t="s">
        <v>29</v>
      </c>
      <c r="F195" s="112"/>
      <c r="G195" s="112"/>
      <c r="H195" s="112"/>
    </row>
    <row r="196" spans="1:9" x14ac:dyDescent="0.25">
      <c r="A196" s="113"/>
      <c r="B196" s="114"/>
      <c r="C196" s="114"/>
      <c r="D196" s="115"/>
      <c r="E196" s="115" t="s">
        <v>0</v>
      </c>
      <c r="F196" s="115"/>
      <c r="G196" s="115"/>
      <c r="H196" s="115"/>
    </row>
    <row r="197" spans="1:9" x14ac:dyDescent="0.25">
      <c r="A197" s="113"/>
      <c r="B197" s="114"/>
      <c r="C197" s="114"/>
      <c r="D197" s="115"/>
      <c r="E197" s="115" t="s">
        <v>1</v>
      </c>
      <c r="F197" s="115"/>
      <c r="G197" s="115"/>
      <c r="H197" s="115"/>
    </row>
    <row r="198" spans="1:9" ht="15.75" thickBot="1" x14ac:dyDescent="0.3">
      <c r="A198" s="98" t="s">
        <v>39</v>
      </c>
      <c r="B198" s="98"/>
      <c r="C198" s="98"/>
      <c r="D198" s="98"/>
      <c r="E198" s="98"/>
      <c r="F198" s="98"/>
      <c r="G198" s="99"/>
      <c r="H198" s="99"/>
    </row>
    <row r="199" spans="1:9" ht="15.75" thickBot="1" x14ac:dyDescent="0.3">
      <c r="A199" s="100" t="s">
        <v>2</v>
      </c>
      <c r="B199" s="103" t="s">
        <v>30</v>
      </c>
      <c r="C199" s="104"/>
      <c r="D199" s="104"/>
      <c r="E199" s="104"/>
      <c r="F199" s="104"/>
      <c r="G199" s="105" t="s">
        <v>3</v>
      </c>
      <c r="H199" s="106"/>
    </row>
    <row r="200" spans="1:9" ht="105.75" thickBot="1" x14ac:dyDescent="0.3">
      <c r="A200" s="101"/>
      <c r="B200" s="96" t="s">
        <v>30</v>
      </c>
      <c r="C200" s="107"/>
      <c r="D200" s="25" t="s">
        <v>32</v>
      </c>
      <c r="E200" s="107" t="s">
        <v>4</v>
      </c>
      <c r="F200" s="97"/>
      <c r="G200" s="108"/>
      <c r="H200" s="109"/>
    </row>
    <row r="201" spans="1:9" ht="150.75" thickBot="1" x14ac:dyDescent="0.3">
      <c r="A201" s="102"/>
      <c r="B201" s="7" t="s">
        <v>36</v>
      </c>
      <c r="C201" s="7" t="s">
        <v>5</v>
      </c>
      <c r="D201" s="7" t="s">
        <v>33</v>
      </c>
      <c r="E201" s="7" t="s">
        <v>34</v>
      </c>
      <c r="F201" s="7" t="s">
        <v>35</v>
      </c>
      <c r="G201" s="110"/>
      <c r="H201" s="111"/>
    </row>
    <row r="202" spans="1:9" ht="15.75" thickBot="1" x14ac:dyDescent="0.3">
      <c r="A202" s="24">
        <v>1</v>
      </c>
      <c r="B202" s="7">
        <v>2</v>
      </c>
      <c r="C202" s="11">
        <v>3</v>
      </c>
      <c r="D202" s="7">
        <v>4</v>
      </c>
      <c r="E202" s="11">
        <v>5</v>
      </c>
      <c r="F202" s="7">
        <v>6</v>
      </c>
      <c r="G202" s="96" t="s">
        <v>37</v>
      </c>
      <c r="H202" s="97"/>
    </row>
    <row r="203" spans="1:9" ht="60.75" thickBot="1" x14ac:dyDescent="0.3">
      <c r="A203" s="2" t="s">
        <v>7</v>
      </c>
      <c r="B203" s="6">
        <f>B204</f>
        <v>70345.600000000006</v>
      </c>
      <c r="C203" s="12"/>
      <c r="D203" s="6">
        <f>D204</f>
        <v>22214.399999999994</v>
      </c>
      <c r="E203" s="8" t="s">
        <v>8</v>
      </c>
      <c r="F203" s="8" t="s">
        <v>8</v>
      </c>
      <c r="G203" s="90">
        <f>97111-1349-3202</f>
        <v>92560</v>
      </c>
      <c r="H203" s="91"/>
    </row>
    <row r="204" spans="1:9" ht="15.75" thickBot="1" x14ac:dyDescent="0.3">
      <c r="A204" s="3" t="s">
        <v>9</v>
      </c>
      <c r="B204" s="6">
        <f>G204*76%</f>
        <v>70345.600000000006</v>
      </c>
      <c r="C204" s="12"/>
      <c r="D204" s="26">
        <f>G204-B204</f>
        <v>22214.399999999994</v>
      </c>
      <c r="E204" s="8" t="s">
        <v>8</v>
      </c>
      <c r="F204" s="8" t="s">
        <v>8</v>
      </c>
      <c r="G204" s="90">
        <f>G203-G205</f>
        <v>92560</v>
      </c>
      <c r="H204" s="91"/>
    </row>
    <row r="205" spans="1:9" ht="15.75" thickBot="1" x14ac:dyDescent="0.3">
      <c r="A205" s="2" t="s">
        <v>10</v>
      </c>
      <c r="B205" s="6">
        <v>0</v>
      </c>
      <c r="C205" s="12"/>
      <c r="D205" s="6">
        <v>0</v>
      </c>
      <c r="E205" s="8" t="s">
        <v>8</v>
      </c>
      <c r="F205" s="8" t="s">
        <v>8</v>
      </c>
      <c r="G205" s="90"/>
      <c r="H205" s="91"/>
    </row>
    <row r="206" spans="1:9" ht="60.75" thickBot="1" x14ac:dyDescent="0.3">
      <c r="A206" s="2" t="s">
        <v>11</v>
      </c>
      <c r="B206" s="6">
        <f>G206*76%</f>
        <v>18730.96</v>
      </c>
      <c r="C206" s="12"/>
      <c r="D206" s="26">
        <f>G206-B206</f>
        <v>5915.0400000000009</v>
      </c>
      <c r="E206" s="8" t="s">
        <v>8</v>
      </c>
      <c r="F206" s="8" t="s">
        <v>8</v>
      </c>
      <c r="G206" s="90">
        <f>24929-283</f>
        <v>24646</v>
      </c>
      <c r="H206" s="91"/>
    </row>
    <row r="207" spans="1:9" ht="30.75" thickBot="1" x14ac:dyDescent="0.3">
      <c r="A207" s="2" t="s">
        <v>12</v>
      </c>
      <c r="B207" s="6">
        <f>G207*76%</f>
        <v>3673.84</v>
      </c>
      <c r="C207" s="12"/>
      <c r="D207" s="26">
        <f>G207-B207</f>
        <v>1160.1599999999999</v>
      </c>
      <c r="E207" s="8" t="s">
        <v>8</v>
      </c>
      <c r="F207" s="8" t="s">
        <v>8</v>
      </c>
      <c r="G207" s="90">
        <f>283+1349+3202</f>
        <v>4834</v>
      </c>
      <c r="H207" s="91"/>
      <c r="I207" s="10">
        <f>G207+G206+G203</f>
        <v>122040</v>
      </c>
    </row>
    <row r="208" spans="1:9" ht="15.75" thickBot="1" x14ac:dyDescent="0.3">
      <c r="A208" s="2" t="s">
        <v>13</v>
      </c>
      <c r="B208" s="6">
        <f>G208*56%</f>
        <v>0</v>
      </c>
      <c r="C208" s="6"/>
      <c r="D208" s="26">
        <f>G208-B208</f>
        <v>0</v>
      </c>
      <c r="E208" s="8" t="s">
        <v>8</v>
      </c>
      <c r="F208" s="8" t="s">
        <v>8</v>
      </c>
      <c r="G208" s="90">
        <v>0</v>
      </c>
      <c r="H208" s="91"/>
      <c r="I208">
        <f>92305</f>
        <v>92305</v>
      </c>
    </row>
    <row r="209" spans="1:9" ht="30.75" thickBot="1" x14ac:dyDescent="0.3">
      <c r="A209" s="2" t="s">
        <v>14</v>
      </c>
      <c r="B209" s="6">
        <f>G209*56%</f>
        <v>1495.2</v>
      </c>
      <c r="C209" s="6"/>
      <c r="D209" s="26">
        <f>G209-B209</f>
        <v>1174.8</v>
      </c>
      <c r="E209" s="8" t="s">
        <v>8</v>
      </c>
      <c r="F209" s="8" t="s">
        <v>8</v>
      </c>
      <c r="G209" s="90">
        <v>2670</v>
      </c>
      <c r="H209" s="91"/>
      <c r="I209" s="10">
        <f>I208-I207</f>
        <v>-29735</v>
      </c>
    </row>
    <row r="210" spans="1:9" ht="45.75" thickBot="1" x14ac:dyDescent="0.3">
      <c r="A210" s="2" t="s">
        <v>15</v>
      </c>
      <c r="B210" s="8" t="s">
        <v>8</v>
      </c>
      <c r="C210" s="8" t="s">
        <v>8</v>
      </c>
      <c r="D210" s="6"/>
      <c r="E210" s="8" t="s">
        <v>8</v>
      </c>
      <c r="F210" s="8" t="s">
        <v>8</v>
      </c>
      <c r="G210" s="90"/>
      <c r="H210" s="91"/>
    </row>
    <row r="211" spans="1:9" ht="15.75" thickBot="1" x14ac:dyDescent="0.3">
      <c r="A211" s="2" t="s">
        <v>16</v>
      </c>
      <c r="B211" s="8" t="s">
        <v>8</v>
      </c>
      <c r="C211" s="8" t="s">
        <v>8</v>
      </c>
      <c r="D211" s="12"/>
      <c r="E211" s="6">
        <v>9000</v>
      </c>
      <c r="F211" s="6"/>
      <c r="G211" s="90">
        <v>9000</v>
      </c>
      <c r="H211" s="91"/>
    </row>
    <row r="212" spans="1:9" ht="15.75" thickBot="1" x14ac:dyDescent="0.3">
      <c r="A212" s="3" t="s">
        <v>17</v>
      </c>
      <c r="B212" s="6">
        <f>G212*56%</f>
        <v>0</v>
      </c>
      <c r="C212" s="8"/>
      <c r="D212" s="6"/>
      <c r="E212" s="6">
        <f>G212-B212</f>
        <v>0</v>
      </c>
      <c r="F212" s="6"/>
      <c r="G212" s="90">
        <v>0</v>
      </c>
      <c r="H212" s="91"/>
    </row>
    <row r="213" spans="1:9" ht="15.75" thickBot="1" x14ac:dyDescent="0.3">
      <c r="A213" s="3" t="s">
        <v>18</v>
      </c>
      <c r="B213" s="6"/>
      <c r="C213" s="8"/>
      <c r="D213" s="8"/>
      <c r="E213" s="6"/>
      <c r="F213" s="6"/>
      <c r="G213" s="90"/>
      <c r="H213" s="91"/>
    </row>
    <row r="214" spans="1:9" ht="45.75" thickBot="1" x14ac:dyDescent="0.3">
      <c r="A214" s="2" t="s">
        <v>19</v>
      </c>
      <c r="B214" s="6"/>
      <c r="C214" s="8"/>
      <c r="D214" s="6"/>
      <c r="E214" s="6"/>
      <c r="F214" s="6"/>
      <c r="G214" s="94"/>
      <c r="H214" s="95"/>
    </row>
    <row r="215" spans="1:9" ht="30.75" thickBot="1" x14ac:dyDescent="0.3">
      <c r="A215" s="2" t="s">
        <v>20</v>
      </c>
      <c r="B215" s="6">
        <f>G215*56%</f>
        <v>36.96</v>
      </c>
      <c r="C215" s="8"/>
      <c r="D215" s="6"/>
      <c r="E215" s="6">
        <f>G215-B215</f>
        <v>29.04</v>
      </c>
      <c r="F215" s="6"/>
      <c r="G215" s="90">
        <v>66</v>
      </c>
      <c r="H215" s="91"/>
    </row>
    <row r="216" spans="1:9" ht="30.75" thickBot="1" x14ac:dyDescent="0.3">
      <c r="A216" s="2" t="s">
        <v>21</v>
      </c>
      <c r="B216" s="6">
        <f>G216*56%</f>
        <v>2320.6400000000003</v>
      </c>
      <c r="C216" s="6"/>
      <c r="D216" s="26">
        <f>G216-B216</f>
        <v>1823.3599999999997</v>
      </c>
      <c r="E216" s="8" t="s">
        <v>8</v>
      </c>
      <c r="F216" s="8" t="s">
        <v>8</v>
      </c>
      <c r="G216" s="90">
        <f>3692+294+158</f>
        <v>4144</v>
      </c>
      <c r="H216" s="91"/>
    </row>
    <row r="217" spans="1:9" ht="15.75" thickBot="1" x14ac:dyDescent="0.3">
      <c r="A217" s="3" t="s">
        <v>22</v>
      </c>
      <c r="B217" s="6">
        <f>G217*56%</f>
        <v>207.76000000000002</v>
      </c>
      <c r="C217" s="6"/>
      <c r="D217" s="26">
        <f>G217-B217</f>
        <v>163.23999999999998</v>
      </c>
      <c r="E217" s="8" t="s">
        <v>8</v>
      </c>
      <c r="F217" s="8" t="s">
        <v>8</v>
      </c>
      <c r="G217" s="90">
        <f>353+18</f>
        <v>371</v>
      </c>
      <c r="H217" s="91"/>
    </row>
    <row r="218" spans="1:9" ht="15.75" thickBot="1" x14ac:dyDescent="0.3">
      <c r="A218" s="3" t="s">
        <v>23</v>
      </c>
      <c r="B218" s="8" t="s">
        <v>8</v>
      </c>
      <c r="C218" s="12"/>
      <c r="D218" s="8" t="s">
        <v>8</v>
      </c>
      <c r="E218" s="8" t="s">
        <v>8</v>
      </c>
      <c r="F218" s="8" t="s">
        <v>8</v>
      </c>
      <c r="G218" s="94"/>
      <c r="H218" s="95"/>
    </row>
    <row r="219" spans="1:9" ht="15.75" thickBot="1" x14ac:dyDescent="0.3">
      <c r="A219" s="3" t="s">
        <v>24</v>
      </c>
      <c r="B219" s="6">
        <f>G219*56%</f>
        <v>0</v>
      </c>
      <c r="C219" s="6"/>
      <c r="D219" s="6"/>
      <c r="E219" s="8" t="s">
        <v>8</v>
      </c>
      <c r="F219" s="8" t="s">
        <v>8</v>
      </c>
      <c r="G219" s="90"/>
      <c r="H219" s="91"/>
    </row>
    <row r="220" spans="1:9" ht="15.75" thickBot="1" x14ac:dyDescent="0.3">
      <c r="A220" s="4" t="s">
        <v>25</v>
      </c>
      <c r="B220" s="6">
        <f>SUM(B204:B219)</f>
        <v>96810.959999999992</v>
      </c>
      <c r="C220" s="6"/>
      <c r="D220" s="6">
        <f>SUM(D204:D219)</f>
        <v>32450.999999999996</v>
      </c>
      <c r="E220" s="6">
        <f>SUM(E204:E219)</f>
        <v>9029.0400000000009</v>
      </c>
      <c r="F220" s="6"/>
      <c r="G220" s="90">
        <f>SUM(G204:H219)</f>
        <v>138291</v>
      </c>
      <c r="H220" s="91"/>
    </row>
    <row r="221" spans="1:9" x14ac:dyDescent="0.25">
      <c r="A221" s="92" t="s">
        <v>26</v>
      </c>
      <c r="B221" s="92"/>
      <c r="C221" s="92"/>
      <c r="D221" s="92"/>
      <c r="E221" s="92"/>
      <c r="F221" s="92"/>
      <c r="G221" s="92"/>
      <c r="H221" s="92"/>
    </row>
    <row r="222" spans="1:9" x14ac:dyDescent="0.25">
      <c r="A222" s="93" t="s">
        <v>27</v>
      </c>
      <c r="B222" s="93"/>
      <c r="C222" s="93"/>
      <c r="D222" s="93"/>
      <c r="E222" s="93"/>
      <c r="F222" s="93"/>
      <c r="G222" s="93"/>
      <c r="H222" s="93"/>
    </row>
    <row r="223" spans="1:9" x14ac:dyDescent="0.25">
      <c r="A223" s="93" t="s">
        <v>28</v>
      </c>
      <c r="B223" s="93"/>
      <c r="C223" s="93"/>
      <c r="D223" s="93"/>
      <c r="E223" s="93"/>
      <c r="F223" s="93"/>
      <c r="G223" s="93"/>
      <c r="H223" s="93"/>
    </row>
    <row r="224" spans="1:9" x14ac:dyDescent="0.25">
      <c r="A224" s="1"/>
      <c r="B224" s="9"/>
      <c r="C224" s="9"/>
      <c r="D224" s="9"/>
      <c r="E224" s="9"/>
      <c r="F224" s="9"/>
      <c r="G224" s="9"/>
      <c r="H224" s="9"/>
    </row>
    <row r="225" spans="1:8" ht="15.75" x14ac:dyDescent="0.25">
      <c r="A225" s="5"/>
    </row>
    <row r="226" spans="1:8" x14ac:dyDescent="0.25">
      <c r="B226" s="13" t="s">
        <v>41</v>
      </c>
      <c r="C226" s="13">
        <v>124171</v>
      </c>
    </row>
    <row r="227" spans="1:8" x14ac:dyDescent="0.25">
      <c r="C227" s="10">
        <f>C226-B220</f>
        <v>27360.040000000008</v>
      </c>
    </row>
    <row r="229" spans="1:8" x14ac:dyDescent="0.25">
      <c r="A229" s="22"/>
      <c r="B229" s="23"/>
      <c r="C229" s="23"/>
      <c r="D229" s="23"/>
      <c r="E229" s="112" t="s">
        <v>29</v>
      </c>
      <c r="F229" s="112"/>
      <c r="G229" s="112"/>
      <c r="H229" s="112"/>
    </row>
    <row r="230" spans="1:8" x14ac:dyDescent="0.25">
      <c r="A230" s="113"/>
      <c r="B230" s="114"/>
      <c r="C230" s="114"/>
      <c r="D230" s="115"/>
      <c r="E230" s="115" t="s">
        <v>0</v>
      </c>
      <c r="F230" s="115"/>
      <c r="G230" s="115"/>
      <c r="H230" s="115"/>
    </row>
    <row r="231" spans="1:8" x14ac:dyDescent="0.25">
      <c r="A231" s="113"/>
      <c r="B231" s="114"/>
      <c r="C231" s="114"/>
      <c r="D231" s="115"/>
      <c r="E231" s="115" t="s">
        <v>1</v>
      </c>
      <c r="F231" s="115"/>
      <c r="G231" s="115"/>
      <c r="H231" s="115"/>
    </row>
    <row r="232" spans="1:8" ht="15.75" thickBot="1" x14ac:dyDescent="0.3">
      <c r="A232" s="98" t="s">
        <v>76</v>
      </c>
      <c r="B232" s="98"/>
      <c r="C232" s="98"/>
      <c r="D232" s="98"/>
      <c r="E232" s="98"/>
      <c r="F232" s="98"/>
      <c r="G232" s="99"/>
      <c r="H232" s="99"/>
    </row>
    <row r="233" spans="1:8" ht="15.75" thickBot="1" x14ac:dyDescent="0.3">
      <c r="A233" s="100" t="s">
        <v>2</v>
      </c>
      <c r="B233" s="103" t="s">
        <v>30</v>
      </c>
      <c r="C233" s="104"/>
      <c r="D233" s="104"/>
      <c r="E233" s="104"/>
      <c r="F233" s="104"/>
      <c r="G233" s="105" t="s">
        <v>3</v>
      </c>
      <c r="H233" s="106"/>
    </row>
    <row r="234" spans="1:8" ht="105.75" thickBot="1" x14ac:dyDescent="0.3">
      <c r="A234" s="101"/>
      <c r="B234" s="96" t="s">
        <v>30</v>
      </c>
      <c r="C234" s="107"/>
      <c r="D234" s="25" t="s">
        <v>32</v>
      </c>
      <c r="E234" s="107" t="s">
        <v>4</v>
      </c>
      <c r="F234" s="97"/>
      <c r="G234" s="108"/>
      <c r="H234" s="109"/>
    </row>
    <row r="235" spans="1:8" ht="150.75" thickBot="1" x14ac:dyDescent="0.3">
      <c r="A235" s="102"/>
      <c r="B235" s="7" t="s">
        <v>36</v>
      </c>
      <c r="C235" s="7" t="s">
        <v>5</v>
      </c>
      <c r="D235" s="7" t="s">
        <v>33</v>
      </c>
      <c r="E235" s="7" t="s">
        <v>34</v>
      </c>
      <c r="F235" s="7" t="s">
        <v>35</v>
      </c>
      <c r="G235" s="110"/>
      <c r="H235" s="111"/>
    </row>
    <row r="236" spans="1:8" ht="15.75" thickBot="1" x14ac:dyDescent="0.3">
      <c r="A236" s="24">
        <v>1</v>
      </c>
      <c r="B236" s="7">
        <v>2</v>
      </c>
      <c r="C236" s="11">
        <v>3</v>
      </c>
      <c r="D236" s="7">
        <v>4</v>
      </c>
      <c r="E236" s="11">
        <v>5</v>
      </c>
      <c r="F236" s="7">
        <v>6</v>
      </c>
      <c r="G236" s="96" t="s">
        <v>37</v>
      </c>
      <c r="H236" s="97"/>
    </row>
    <row r="237" spans="1:8" ht="60.75" thickBot="1" x14ac:dyDescent="0.3">
      <c r="A237" s="2" t="s">
        <v>7</v>
      </c>
      <c r="B237" s="6">
        <f>B238</f>
        <v>77744.960000000006</v>
      </c>
      <c r="C237" s="12"/>
      <c r="D237" s="6">
        <f>D238</f>
        <v>24551.039999999994</v>
      </c>
      <c r="E237" s="8" t="s">
        <v>8</v>
      </c>
      <c r="F237" s="8" t="s">
        <v>8</v>
      </c>
      <c r="G237" s="90">
        <f>106982-1377-3309</f>
        <v>102296</v>
      </c>
      <c r="H237" s="91"/>
    </row>
    <row r="238" spans="1:8" ht="15.75" thickBot="1" x14ac:dyDescent="0.3">
      <c r="A238" s="3" t="s">
        <v>9</v>
      </c>
      <c r="B238" s="6">
        <f>G238*76%</f>
        <v>77744.960000000006</v>
      </c>
      <c r="C238" s="12"/>
      <c r="D238" s="26">
        <f>G238-B238</f>
        <v>24551.039999999994</v>
      </c>
      <c r="E238" s="8" t="s">
        <v>8</v>
      </c>
      <c r="F238" s="8" t="s">
        <v>8</v>
      </c>
      <c r="G238" s="90">
        <f>G237-G239</f>
        <v>102296</v>
      </c>
      <c r="H238" s="91"/>
    </row>
    <row r="239" spans="1:8" ht="15.75" thickBot="1" x14ac:dyDescent="0.3">
      <c r="A239" s="2" t="s">
        <v>10</v>
      </c>
      <c r="B239" s="6">
        <v>0</v>
      </c>
      <c r="C239" s="12"/>
      <c r="D239" s="6">
        <v>0</v>
      </c>
      <c r="E239" s="8" t="s">
        <v>8</v>
      </c>
      <c r="F239" s="8" t="s">
        <v>8</v>
      </c>
      <c r="G239" s="90"/>
      <c r="H239" s="91"/>
    </row>
    <row r="240" spans="1:8" ht="60.75" thickBot="1" x14ac:dyDescent="0.3">
      <c r="A240" s="2" t="s">
        <v>11</v>
      </c>
      <c r="B240" s="6">
        <f>G240*76%</f>
        <v>21323.32</v>
      </c>
      <c r="C240" s="12"/>
      <c r="D240" s="26">
        <f>G240-B240</f>
        <v>6733.68</v>
      </c>
      <c r="E240" s="8" t="s">
        <v>8</v>
      </c>
      <c r="F240" s="8" t="s">
        <v>8</v>
      </c>
      <c r="G240" s="90">
        <f>28881-526-298</f>
        <v>28057</v>
      </c>
      <c r="H240" s="91"/>
    </row>
    <row r="241" spans="1:8" ht="30.75" thickBot="1" x14ac:dyDescent="0.3">
      <c r="A241" s="2" t="s">
        <v>12</v>
      </c>
      <c r="B241" s="6">
        <f>G241*76%</f>
        <v>4187.6000000000004</v>
      </c>
      <c r="C241" s="12"/>
      <c r="D241" s="26">
        <f>G241-B241</f>
        <v>1322.3999999999996</v>
      </c>
      <c r="E241" s="8" t="s">
        <v>8</v>
      </c>
      <c r="F241" s="8" t="s">
        <v>8</v>
      </c>
      <c r="G241" s="90">
        <f>3309+1377+526+298</f>
        <v>5510</v>
      </c>
      <c r="H241" s="91"/>
    </row>
    <row r="242" spans="1:8" ht="15.75" thickBot="1" x14ac:dyDescent="0.3">
      <c r="A242" s="2" t="s">
        <v>13</v>
      </c>
      <c r="B242" s="6">
        <f>G242*56%</f>
        <v>0</v>
      </c>
      <c r="C242" s="6"/>
      <c r="D242" s="26">
        <f>G242-B242</f>
        <v>0</v>
      </c>
      <c r="E242" s="8" t="s">
        <v>8</v>
      </c>
      <c r="F242" s="8" t="s">
        <v>8</v>
      </c>
      <c r="G242" s="90">
        <v>0</v>
      </c>
      <c r="H242" s="91"/>
    </row>
    <row r="243" spans="1:8" ht="30.75" thickBot="1" x14ac:dyDescent="0.3">
      <c r="A243" s="2" t="s">
        <v>14</v>
      </c>
      <c r="B243" s="6">
        <f>G243*56%</f>
        <v>1495.2</v>
      </c>
      <c r="C243" s="6"/>
      <c r="D243" s="26">
        <f>G243-B243</f>
        <v>1174.8</v>
      </c>
      <c r="E243" s="8" t="s">
        <v>8</v>
      </c>
      <c r="F243" s="8" t="s">
        <v>8</v>
      </c>
      <c r="G243" s="90">
        <v>2670</v>
      </c>
      <c r="H243" s="91"/>
    </row>
    <row r="244" spans="1:8" ht="45.75" thickBot="1" x14ac:dyDescent="0.3">
      <c r="A244" s="2" t="s">
        <v>15</v>
      </c>
      <c r="B244" s="8" t="s">
        <v>8</v>
      </c>
      <c r="C244" s="8" t="s">
        <v>8</v>
      </c>
      <c r="D244" s="6"/>
      <c r="E244" s="8">
        <v>10500</v>
      </c>
      <c r="F244" s="8" t="s">
        <v>8</v>
      </c>
      <c r="G244" s="90"/>
      <c r="H244" s="91"/>
    </row>
    <row r="245" spans="1:8" ht="15.75" thickBot="1" x14ac:dyDescent="0.3">
      <c r="A245" s="2" t="s">
        <v>16</v>
      </c>
      <c r="B245" s="8" t="s">
        <v>8</v>
      </c>
      <c r="C245" s="8" t="s">
        <v>8</v>
      </c>
      <c r="D245" s="12"/>
      <c r="E245" s="6">
        <v>0</v>
      </c>
      <c r="F245" s="6"/>
      <c r="G245" s="90">
        <v>10500</v>
      </c>
      <c r="H245" s="91"/>
    </row>
    <row r="246" spans="1:8" ht="15.75" thickBot="1" x14ac:dyDescent="0.3">
      <c r="A246" s="3" t="s">
        <v>17</v>
      </c>
      <c r="B246" s="6">
        <f>G246*56%</f>
        <v>0</v>
      </c>
      <c r="C246" s="8"/>
      <c r="D246" s="6"/>
      <c r="E246" s="6">
        <f>G246-B246</f>
        <v>0</v>
      </c>
      <c r="F246" s="6"/>
      <c r="G246" s="90">
        <v>0</v>
      </c>
      <c r="H246" s="91"/>
    </row>
    <row r="247" spans="1:8" ht="15.75" thickBot="1" x14ac:dyDescent="0.3">
      <c r="A247" s="3" t="s">
        <v>18</v>
      </c>
      <c r="B247" s="6"/>
      <c r="C247" s="8"/>
      <c r="D247" s="8"/>
      <c r="E247" s="6"/>
      <c r="F247" s="6"/>
      <c r="G247" s="90"/>
      <c r="H247" s="91"/>
    </row>
    <row r="248" spans="1:8" ht="45.75" thickBot="1" x14ac:dyDescent="0.3">
      <c r="A248" s="2" t="s">
        <v>19</v>
      </c>
      <c r="B248" s="6"/>
      <c r="C248" s="8"/>
      <c r="D248" s="6"/>
      <c r="E248" s="6"/>
      <c r="F248" s="6"/>
      <c r="G248" s="94"/>
      <c r="H248" s="95"/>
    </row>
    <row r="249" spans="1:8" ht="30.75" thickBot="1" x14ac:dyDescent="0.3">
      <c r="A249" s="2" t="s">
        <v>20</v>
      </c>
      <c r="B249" s="6">
        <f>G249*56%</f>
        <v>43.120000000000005</v>
      </c>
      <c r="C249" s="8"/>
      <c r="D249" s="6"/>
      <c r="E249" s="6">
        <f>G249-B249</f>
        <v>33.879999999999995</v>
      </c>
      <c r="F249" s="6"/>
      <c r="G249" s="90">
        <v>77</v>
      </c>
      <c r="H249" s="91"/>
    </row>
    <row r="250" spans="1:8" ht="30.75" thickBot="1" x14ac:dyDescent="0.3">
      <c r="A250" s="2" t="s">
        <v>21</v>
      </c>
      <c r="B250" s="6">
        <f>G250*56%</f>
        <v>2531.7600000000002</v>
      </c>
      <c r="C250" s="6"/>
      <c r="D250" s="26">
        <f>G250-B250</f>
        <v>1989.2399999999998</v>
      </c>
      <c r="E250" s="8" t="s">
        <v>8</v>
      </c>
      <c r="F250" s="8" t="s">
        <v>8</v>
      </c>
      <c r="G250" s="90">
        <f>294+4069+158</f>
        <v>4521</v>
      </c>
      <c r="H250" s="91"/>
    </row>
    <row r="251" spans="1:8" ht="15.75" thickBot="1" x14ac:dyDescent="0.3">
      <c r="A251" s="3" t="s">
        <v>22</v>
      </c>
      <c r="B251" s="6">
        <f>G251*56%</f>
        <v>219.52</v>
      </c>
      <c r="C251" s="6"/>
      <c r="D251" s="26">
        <f>G251-B251</f>
        <v>172.48</v>
      </c>
      <c r="E251" s="8" t="s">
        <v>8</v>
      </c>
      <c r="F251" s="8" t="s">
        <v>8</v>
      </c>
      <c r="G251" s="90">
        <f>18+374</f>
        <v>392</v>
      </c>
      <c r="H251" s="91"/>
    </row>
    <row r="252" spans="1:8" ht="15.75" thickBot="1" x14ac:dyDescent="0.3">
      <c r="A252" s="3" t="s">
        <v>23</v>
      </c>
      <c r="B252" s="8" t="s">
        <v>8</v>
      </c>
      <c r="C252" s="12"/>
      <c r="D252" s="8" t="s">
        <v>8</v>
      </c>
      <c r="E252" s="8" t="s">
        <v>8</v>
      </c>
      <c r="F252" s="8" t="s">
        <v>8</v>
      </c>
      <c r="G252" s="94"/>
      <c r="H252" s="95"/>
    </row>
    <row r="253" spans="1:8" ht="15.75" thickBot="1" x14ac:dyDescent="0.3">
      <c r="A253" s="3" t="s">
        <v>24</v>
      </c>
      <c r="B253" s="6">
        <f>G253*56%</f>
        <v>0</v>
      </c>
      <c r="C253" s="6"/>
      <c r="D253" s="6"/>
      <c r="E253" s="8" t="s">
        <v>8</v>
      </c>
      <c r="F253" s="8" t="s">
        <v>8</v>
      </c>
      <c r="G253" s="90"/>
      <c r="H253" s="91"/>
    </row>
    <row r="254" spans="1:8" ht="15.75" thickBot="1" x14ac:dyDescent="0.3">
      <c r="A254" s="4" t="s">
        <v>25</v>
      </c>
      <c r="B254" s="6">
        <f>SUM(B238:B253)</f>
        <v>107545.48</v>
      </c>
      <c r="C254" s="6"/>
      <c r="D254" s="6">
        <f>SUM(D238:D253)</f>
        <v>35943.64</v>
      </c>
      <c r="E254" s="6">
        <f>SUM(E238:E253)</f>
        <v>10533.88</v>
      </c>
      <c r="F254" s="6"/>
      <c r="G254" s="90">
        <f>SUM(G238:H253)</f>
        <v>154023</v>
      </c>
      <c r="H254" s="91"/>
    </row>
    <row r="255" spans="1:8" x14ac:dyDescent="0.25">
      <c r="A255" s="92" t="s">
        <v>26</v>
      </c>
      <c r="B255" s="92"/>
      <c r="C255" s="92"/>
      <c r="D255" s="92"/>
      <c r="E255" s="92"/>
      <c r="F255" s="92"/>
      <c r="G255" s="92"/>
      <c r="H255" s="92"/>
    </row>
    <row r="256" spans="1:8" x14ac:dyDescent="0.25">
      <c r="A256" s="93" t="s">
        <v>27</v>
      </c>
      <c r="B256" s="93"/>
      <c r="C256" s="93"/>
      <c r="D256" s="93"/>
      <c r="E256" s="93"/>
      <c r="F256" s="93"/>
      <c r="G256" s="93"/>
      <c r="H256" s="93"/>
    </row>
    <row r="257" spans="1:8" x14ac:dyDescent="0.25">
      <c r="A257" s="93" t="s">
        <v>28</v>
      </c>
      <c r="B257" s="93"/>
      <c r="C257" s="93"/>
      <c r="D257" s="93"/>
      <c r="E257" s="93"/>
      <c r="F257" s="93"/>
      <c r="G257" s="93"/>
      <c r="H257" s="93"/>
    </row>
    <row r="258" spans="1:8" x14ac:dyDescent="0.25">
      <c r="A258" s="1"/>
      <c r="B258" s="9"/>
      <c r="C258" s="9"/>
      <c r="D258" s="9"/>
      <c r="E258" s="9"/>
      <c r="F258" s="9"/>
      <c r="G258" s="9"/>
      <c r="H258" s="9"/>
    </row>
    <row r="259" spans="1:8" ht="15.75" x14ac:dyDescent="0.25">
      <c r="A259" s="5"/>
    </row>
    <row r="260" spans="1:8" x14ac:dyDescent="0.25">
      <c r="B260" s="13" t="s">
        <v>77</v>
      </c>
      <c r="C260" s="13">
        <v>139226</v>
      </c>
    </row>
    <row r="261" spans="1:8" x14ac:dyDescent="0.25">
      <c r="C261" s="10">
        <f>C260-B254</f>
        <v>31680.520000000004</v>
      </c>
    </row>
    <row r="264" spans="1:8" x14ac:dyDescent="0.25">
      <c r="A264" s="22"/>
      <c r="B264" s="23"/>
      <c r="C264" s="23"/>
      <c r="D264" s="23"/>
      <c r="E264" s="112" t="s">
        <v>29</v>
      </c>
      <c r="F264" s="112"/>
      <c r="G264" s="112"/>
      <c r="H264" s="112"/>
    </row>
    <row r="265" spans="1:8" x14ac:dyDescent="0.25">
      <c r="A265" s="113"/>
      <c r="B265" s="114"/>
      <c r="C265" s="114"/>
      <c r="D265" s="115"/>
      <c r="E265" s="115" t="s">
        <v>0</v>
      </c>
      <c r="F265" s="115"/>
      <c r="G265" s="115"/>
      <c r="H265" s="115"/>
    </row>
    <row r="266" spans="1:8" x14ac:dyDescent="0.25">
      <c r="A266" s="113"/>
      <c r="B266" s="114"/>
      <c r="C266" s="114"/>
      <c r="D266" s="115"/>
      <c r="E266" s="115" t="s">
        <v>1</v>
      </c>
      <c r="F266" s="115"/>
      <c r="G266" s="115"/>
      <c r="H266" s="115"/>
    </row>
    <row r="267" spans="1:8" ht="15.75" thickBot="1" x14ac:dyDescent="0.3">
      <c r="A267" s="98" t="s">
        <v>78</v>
      </c>
      <c r="B267" s="98"/>
      <c r="C267" s="98"/>
      <c r="D267" s="98"/>
      <c r="E267" s="98"/>
      <c r="F267" s="98"/>
      <c r="G267" s="99"/>
      <c r="H267" s="99"/>
    </row>
    <row r="268" spans="1:8" ht="15.75" thickBot="1" x14ac:dyDescent="0.3">
      <c r="A268" s="100" t="s">
        <v>2</v>
      </c>
      <c r="B268" s="103" t="s">
        <v>30</v>
      </c>
      <c r="C268" s="104"/>
      <c r="D268" s="104"/>
      <c r="E268" s="104"/>
      <c r="F268" s="104"/>
      <c r="G268" s="105" t="s">
        <v>3</v>
      </c>
      <c r="H268" s="106"/>
    </row>
    <row r="269" spans="1:8" ht="105.75" thickBot="1" x14ac:dyDescent="0.3">
      <c r="A269" s="101"/>
      <c r="B269" s="96" t="s">
        <v>30</v>
      </c>
      <c r="C269" s="107"/>
      <c r="D269" s="25" t="s">
        <v>32</v>
      </c>
      <c r="E269" s="107" t="s">
        <v>4</v>
      </c>
      <c r="F269" s="97"/>
      <c r="G269" s="108"/>
      <c r="H269" s="109"/>
    </row>
    <row r="270" spans="1:8" ht="150.75" thickBot="1" x14ac:dyDescent="0.3">
      <c r="A270" s="102"/>
      <c r="B270" s="7" t="s">
        <v>36</v>
      </c>
      <c r="C270" s="7" t="s">
        <v>5</v>
      </c>
      <c r="D270" s="7" t="s">
        <v>33</v>
      </c>
      <c r="E270" s="7" t="s">
        <v>34</v>
      </c>
      <c r="F270" s="7" t="s">
        <v>35</v>
      </c>
      <c r="G270" s="110"/>
      <c r="H270" s="111"/>
    </row>
    <row r="271" spans="1:8" ht="15.75" thickBot="1" x14ac:dyDescent="0.3">
      <c r="A271" s="24">
        <v>1</v>
      </c>
      <c r="B271" s="7">
        <v>2</v>
      </c>
      <c r="C271" s="11">
        <v>3</v>
      </c>
      <c r="D271" s="7">
        <v>4</v>
      </c>
      <c r="E271" s="11">
        <v>5</v>
      </c>
      <c r="F271" s="7">
        <v>6</v>
      </c>
      <c r="G271" s="96" t="s">
        <v>37</v>
      </c>
      <c r="H271" s="97"/>
    </row>
    <row r="272" spans="1:8" ht="60.75" thickBot="1" x14ac:dyDescent="0.3">
      <c r="A272" s="2" t="s">
        <v>7</v>
      </c>
      <c r="B272" s="6">
        <f>B273</f>
        <v>85303.92</v>
      </c>
      <c r="C272" s="12"/>
      <c r="D272" s="6">
        <f>D273</f>
        <v>26938.080000000002</v>
      </c>
      <c r="E272" s="8" t="s">
        <v>8</v>
      </c>
      <c r="F272" s="8" t="s">
        <v>8</v>
      </c>
      <c r="G272" s="90">
        <f>116946-1395-3309</f>
        <v>112242</v>
      </c>
      <c r="H272" s="91"/>
    </row>
    <row r="273" spans="1:8" ht="15.75" thickBot="1" x14ac:dyDescent="0.3">
      <c r="A273" s="3" t="s">
        <v>9</v>
      </c>
      <c r="B273" s="6">
        <f>G273*76%</f>
        <v>85303.92</v>
      </c>
      <c r="C273" s="12"/>
      <c r="D273" s="26">
        <f>G273-B273</f>
        <v>26938.080000000002</v>
      </c>
      <c r="E273" s="8" t="s">
        <v>8</v>
      </c>
      <c r="F273" s="8" t="s">
        <v>8</v>
      </c>
      <c r="G273" s="90">
        <f>G272-G274</f>
        <v>112242</v>
      </c>
      <c r="H273" s="91"/>
    </row>
    <row r="274" spans="1:8" ht="15.75" thickBot="1" x14ac:dyDescent="0.3">
      <c r="A274" s="2" t="s">
        <v>10</v>
      </c>
      <c r="B274" s="6">
        <v>0</v>
      </c>
      <c r="C274" s="12"/>
      <c r="D274" s="6">
        <v>0</v>
      </c>
      <c r="E274" s="8" t="s">
        <v>8</v>
      </c>
      <c r="F274" s="8" t="s">
        <v>8</v>
      </c>
      <c r="G274" s="90"/>
      <c r="H274" s="91"/>
    </row>
    <row r="275" spans="1:8" ht="60.75" thickBot="1" x14ac:dyDescent="0.3">
      <c r="A275" s="2" t="s">
        <v>11</v>
      </c>
      <c r="B275" s="6">
        <f>G275*76%</f>
        <v>24660.48</v>
      </c>
      <c r="C275" s="12"/>
      <c r="D275" s="26">
        <f>G275-B275</f>
        <v>7787.52</v>
      </c>
      <c r="E275" s="8" t="s">
        <v>8</v>
      </c>
      <c r="F275" s="8" t="s">
        <v>8</v>
      </c>
      <c r="G275" s="90">
        <f>32758-310</f>
        <v>32448</v>
      </c>
      <c r="H275" s="91"/>
    </row>
    <row r="276" spans="1:8" ht="30.75" thickBot="1" x14ac:dyDescent="0.3">
      <c r="A276" s="2" t="s">
        <v>12</v>
      </c>
      <c r="B276" s="6">
        <f>G276*76%</f>
        <v>3810.64</v>
      </c>
      <c r="C276" s="12"/>
      <c r="D276" s="26">
        <f>G276-B276</f>
        <v>1203.3600000000001</v>
      </c>
      <c r="E276" s="8" t="s">
        <v>8</v>
      </c>
      <c r="F276" s="8" t="s">
        <v>8</v>
      </c>
      <c r="G276" s="90">
        <f>1395+3309+310</f>
        <v>5014</v>
      </c>
      <c r="H276" s="91"/>
    </row>
    <row r="277" spans="1:8" ht="15.75" thickBot="1" x14ac:dyDescent="0.3">
      <c r="A277" s="2" t="s">
        <v>13</v>
      </c>
      <c r="B277" s="6">
        <f>G277*56%</f>
        <v>0</v>
      </c>
      <c r="C277" s="6"/>
      <c r="D277" s="26">
        <f>G277-B277</f>
        <v>0</v>
      </c>
      <c r="E277" s="8" t="s">
        <v>8</v>
      </c>
      <c r="F277" s="8" t="s">
        <v>8</v>
      </c>
      <c r="G277" s="90">
        <v>0</v>
      </c>
      <c r="H277" s="91"/>
    </row>
    <row r="278" spans="1:8" ht="30.75" thickBot="1" x14ac:dyDescent="0.3">
      <c r="A278" s="2" t="s">
        <v>14</v>
      </c>
      <c r="B278" s="6">
        <f>G278*56%</f>
        <v>1942.64</v>
      </c>
      <c r="C278" s="6"/>
      <c r="D278" s="26">
        <f>G278-B278</f>
        <v>1526.36</v>
      </c>
      <c r="E278" s="8" t="s">
        <v>8</v>
      </c>
      <c r="F278" s="8" t="s">
        <v>8</v>
      </c>
      <c r="G278" s="90">
        <v>3469</v>
      </c>
      <c r="H278" s="91"/>
    </row>
    <row r="279" spans="1:8" ht="45.75" thickBot="1" x14ac:dyDescent="0.3">
      <c r="A279" s="2" t="s">
        <v>15</v>
      </c>
      <c r="B279" s="8" t="s">
        <v>8</v>
      </c>
      <c r="C279" s="8" t="s">
        <v>8</v>
      </c>
      <c r="D279" s="6"/>
      <c r="E279" s="8" t="s">
        <v>8</v>
      </c>
      <c r="F279" s="8" t="s">
        <v>8</v>
      </c>
      <c r="G279" s="90"/>
      <c r="H279" s="91"/>
    </row>
    <row r="280" spans="1:8" ht="15.75" thickBot="1" x14ac:dyDescent="0.3">
      <c r="A280" s="2" t="s">
        <v>16</v>
      </c>
      <c r="B280" s="8" t="s">
        <v>8</v>
      </c>
      <c r="C280" s="8" t="s">
        <v>8</v>
      </c>
      <c r="D280" s="12"/>
      <c r="E280" s="6">
        <v>12000</v>
      </c>
      <c r="F280" s="6"/>
      <c r="G280" s="90">
        <v>12000</v>
      </c>
      <c r="H280" s="91"/>
    </row>
    <row r="281" spans="1:8" ht="15.75" thickBot="1" x14ac:dyDescent="0.3">
      <c r="A281" s="3" t="s">
        <v>17</v>
      </c>
      <c r="B281" s="6">
        <f>G281*56%</f>
        <v>0</v>
      </c>
      <c r="C281" s="8"/>
      <c r="D281" s="6"/>
      <c r="E281" s="6">
        <f>G281-B281</f>
        <v>0</v>
      </c>
      <c r="F281" s="6"/>
      <c r="G281" s="90">
        <v>0</v>
      </c>
      <c r="H281" s="91"/>
    </row>
    <row r="282" spans="1:8" ht="15.75" thickBot="1" x14ac:dyDescent="0.3">
      <c r="A282" s="3" t="s">
        <v>18</v>
      </c>
      <c r="B282" s="6"/>
      <c r="C282" s="8"/>
      <c r="D282" s="8"/>
      <c r="E282" s="6"/>
      <c r="F282" s="6"/>
      <c r="G282" s="90"/>
      <c r="H282" s="91"/>
    </row>
    <row r="283" spans="1:8" ht="45.75" thickBot="1" x14ac:dyDescent="0.3">
      <c r="A283" s="2" t="s">
        <v>19</v>
      </c>
      <c r="B283" s="6"/>
      <c r="C283" s="8"/>
      <c r="D283" s="6"/>
      <c r="E283" s="6"/>
      <c r="F283" s="6"/>
      <c r="G283" s="94"/>
      <c r="H283" s="95"/>
    </row>
    <row r="284" spans="1:8" ht="30.75" thickBot="1" x14ac:dyDescent="0.3">
      <c r="A284" s="2" t="s">
        <v>20</v>
      </c>
      <c r="B284" s="6">
        <f>G284*56%</f>
        <v>49.28</v>
      </c>
      <c r="C284" s="8"/>
      <c r="D284" s="6"/>
      <c r="E284" s="6">
        <f>G284-B284</f>
        <v>38.72</v>
      </c>
      <c r="F284" s="6"/>
      <c r="G284" s="90">
        <v>88</v>
      </c>
      <c r="H284" s="91"/>
    </row>
    <row r="285" spans="1:8" ht="30.75" thickBot="1" x14ac:dyDescent="0.3">
      <c r="A285" s="2" t="s">
        <v>21</v>
      </c>
      <c r="B285" s="6">
        <f>G285*56%</f>
        <v>3797.9200000000005</v>
      </c>
      <c r="C285" s="6"/>
      <c r="D285" s="26">
        <f>G285-B285</f>
        <v>2984.0799999999995</v>
      </c>
      <c r="E285" s="8" t="s">
        <v>8</v>
      </c>
      <c r="F285" s="8" t="s">
        <v>8</v>
      </c>
      <c r="G285" s="90">
        <f>294+6330+158</f>
        <v>6782</v>
      </c>
      <c r="H285" s="91"/>
    </row>
    <row r="286" spans="1:8" ht="15.75" thickBot="1" x14ac:dyDescent="0.3">
      <c r="A286" s="3" t="s">
        <v>22</v>
      </c>
      <c r="B286" s="6">
        <f>G286*56%</f>
        <v>241.92000000000002</v>
      </c>
      <c r="C286" s="6"/>
      <c r="D286" s="26">
        <f>G286-B286</f>
        <v>190.07999999999998</v>
      </c>
      <c r="E286" s="8" t="s">
        <v>8</v>
      </c>
      <c r="F286" s="8" t="s">
        <v>8</v>
      </c>
      <c r="G286" s="90">
        <f>414+18</f>
        <v>432</v>
      </c>
      <c r="H286" s="91"/>
    </row>
    <row r="287" spans="1:8" ht="15.75" thickBot="1" x14ac:dyDescent="0.3">
      <c r="A287" s="3" t="s">
        <v>23</v>
      </c>
      <c r="B287" s="8" t="s">
        <v>8</v>
      </c>
      <c r="C287" s="12"/>
      <c r="D287" s="8" t="s">
        <v>8</v>
      </c>
      <c r="E287" s="8" t="s">
        <v>8</v>
      </c>
      <c r="F287" s="8" t="s">
        <v>8</v>
      </c>
      <c r="G287" s="94"/>
      <c r="H287" s="95"/>
    </row>
    <row r="288" spans="1:8" ht="15.75" thickBot="1" x14ac:dyDescent="0.3">
      <c r="A288" s="3" t="s">
        <v>24</v>
      </c>
      <c r="B288" s="6">
        <f>G288*56%</f>
        <v>0</v>
      </c>
      <c r="C288" s="6"/>
      <c r="D288" s="6"/>
      <c r="E288" s="8" t="s">
        <v>8</v>
      </c>
      <c r="F288" s="8" t="s">
        <v>8</v>
      </c>
      <c r="G288" s="90"/>
      <c r="H288" s="91"/>
    </row>
    <row r="289" spans="1:8" ht="15.75" thickBot="1" x14ac:dyDescent="0.3">
      <c r="A289" s="4" t="s">
        <v>25</v>
      </c>
      <c r="B289" s="6">
        <f>SUM(B273:B288)</f>
        <v>119806.79999999999</v>
      </c>
      <c r="C289" s="6"/>
      <c r="D289" s="6">
        <f>SUM(D273:D288)</f>
        <v>40629.48000000001</v>
      </c>
      <c r="E289" s="6">
        <f>SUM(E273:E288)</f>
        <v>12038.72</v>
      </c>
      <c r="F289" s="6"/>
      <c r="G289" s="90">
        <f>SUM(G273:H288)</f>
        <v>172475</v>
      </c>
      <c r="H289" s="91"/>
    </row>
    <row r="290" spans="1:8" x14ac:dyDescent="0.25">
      <c r="A290" s="92" t="s">
        <v>26</v>
      </c>
      <c r="B290" s="92"/>
      <c r="C290" s="92"/>
      <c r="D290" s="92"/>
      <c r="E290" s="92"/>
      <c r="F290" s="92"/>
      <c r="G290" s="92"/>
      <c r="H290" s="92"/>
    </row>
    <row r="291" spans="1:8" x14ac:dyDescent="0.25">
      <c r="A291" s="93" t="s">
        <v>27</v>
      </c>
      <c r="B291" s="93"/>
      <c r="C291" s="93"/>
      <c r="D291" s="93"/>
      <c r="E291" s="93"/>
      <c r="F291" s="93"/>
      <c r="G291" s="93"/>
      <c r="H291" s="93"/>
    </row>
    <row r="292" spans="1:8" x14ac:dyDescent="0.25">
      <c r="A292" s="93" t="s">
        <v>28</v>
      </c>
      <c r="B292" s="93"/>
      <c r="C292" s="93"/>
      <c r="D292" s="93"/>
      <c r="E292" s="93"/>
      <c r="F292" s="93"/>
      <c r="G292" s="93"/>
      <c r="H292" s="93"/>
    </row>
    <row r="293" spans="1:8" x14ac:dyDescent="0.25">
      <c r="A293" s="1"/>
      <c r="B293" s="9"/>
      <c r="C293" s="9"/>
      <c r="D293" s="9"/>
      <c r="E293" s="9"/>
      <c r="F293" s="9"/>
      <c r="G293" s="9"/>
      <c r="H293" s="9"/>
    </row>
    <row r="294" spans="1:8" ht="15.75" x14ac:dyDescent="0.25">
      <c r="A294" s="5"/>
    </row>
    <row r="295" spans="1:8" x14ac:dyDescent="0.25">
      <c r="B295" s="13" t="s">
        <v>77</v>
      </c>
      <c r="C295" s="13">
        <v>156157</v>
      </c>
    </row>
    <row r="296" spans="1:8" x14ac:dyDescent="0.25">
      <c r="C296" s="10">
        <f>C295-B289</f>
        <v>36350.200000000012</v>
      </c>
    </row>
    <row r="300" spans="1:8" x14ac:dyDescent="0.25">
      <c r="A300" s="22"/>
      <c r="B300" s="23"/>
      <c r="C300" s="23"/>
      <c r="D300" s="23"/>
      <c r="E300" s="112" t="s">
        <v>29</v>
      </c>
      <c r="F300" s="112"/>
      <c r="G300" s="112"/>
      <c r="H300" s="112"/>
    </row>
    <row r="301" spans="1:8" x14ac:dyDescent="0.25">
      <c r="A301" s="113"/>
      <c r="B301" s="114"/>
      <c r="C301" s="114"/>
      <c r="D301" s="115"/>
      <c r="E301" s="115" t="s">
        <v>0</v>
      </c>
      <c r="F301" s="115"/>
      <c r="G301" s="115"/>
      <c r="H301" s="115"/>
    </row>
    <row r="302" spans="1:8" x14ac:dyDescent="0.25">
      <c r="A302" s="113"/>
      <c r="B302" s="114"/>
      <c r="C302" s="114"/>
      <c r="D302" s="115"/>
      <c r="E302" s="115" t="s">
        <v>1</v>
      </c>
      <c r="F302" s="115"/>
      <c r="G302" s="115"/>
      <c r="H302" s="115"/>
    </row>
    <row r="303" spans="1:8" ht="15.75" thickBot="1" x14ac:dyDescent="0.3">
      <c r="A303" s="98" t="s">
        <v>38</v>
      </c>
      <c r="B303" s="98"/>
      <c r="C303" s="98"/>
      <c r="D303" s="98"/>
      <c r="E303" s="98"/>
      <c r="F303" s="98"/>
      <c r="G303" s="99"/>
      <c r="H303" s="99"/>
    </row>
    <row r="304" spans="1:8" ht="15.75" thickBot="1" x14ac:dyDescent="0.3">
      <c r="A304" s="100" t="s">
        <v>2</v>
      </c>
      <c r="B304" s="103" t="s">
        <v>30</v>
      </c>
      <c r="C304" s="104"/>
      <c r="D304" s="104"/>
      <c r="E304" s="104"/>
      <c r="F304" s="104"/>
      <c r="G304" s="105" t="s">
        <v>3</v>
      </c>
      <c r="H304" s="106"/>
    </row>
    <row r="305" spans="1:8" ht="105.75" thickBot="1" x14ac:dyDescent="0.3">
      <c r="A305" s="101"/>
      <c r="B305" s="96" t="s">
        <v>30</v>
      </c>
      <c r="C305" s="107"/>
      <c r="D305" s="25" t="s">
        <v>32</v>
      </c>
      <c r="E305" s="107" t="s">
        <v>4</v>
      </c>
      <c r="F305" s="97"/>
      <c r="G305" s="108"/>
      <c r="H305" s="109"/>
    </row>
    <row r="306" spans="1:8" ht="150.75" thickBot="1" x14ac:dyDescent="0.3">
      <c r="A306" s="102"/>
      <c r="B306" s="7" t="s">
        <v>36</v>
      </c>
      <c r="C306" s="7" t="s">
        <v>5</v>
      </c>
      <c r="D306" s="7" t="s">
        <v>33</v>
      </c>
      <c r="E306" s="7" t="s">
        <v>34</v>
      </c>
      <c r="F306" s="7" t="s">
        <v>35</v>
      </c>
      <c r="G306" s="110"/>
      <c r="H306" s="111"/>
    </row>
    <row r="307" spans="1:8" ht="15.75" thickBot="1" x14ac:dyDescent="0.3">
      <c r="A307" s="24">
        <v>1</v>
      </c>
      <c r="B307" s="7">
        <v>2</v>
      </c>
      <c r="C307" s="11">
        <v>3</v>
      </c>
      <c r="D307" s="7">
        <v>4</v>
      </c>
      <c r="E307" s="11">
        <v>5</v>
      </c>
      <c r="F307" s="7">
        <v>6</v>
      </c>
      <c r="G307" s="96" t="s">
        <v>37</v>
      </c>
      <c r="H307" s="97"/>
    </row>
    <row r="308" spans="1:8" ht="60.75" thickBot="1" x14ac:dyDescent="0.3">
      <c r="A308" s="2" t="s">
        <v>7</v>
      </c>
      <c r="B308" s="6">
        <f>B309</f>
        <v>95739.48</v>
      </c>
      <c r="C308" s="12"/>
      <c r="D308" s="6">
        <f>D309</f>
        <v>30233.520000000004</v>
      </c>
      <c r="E308" s="8" t="s">
        <v>8</v>
      </c>
      <c r="F308" s="8" t="s">
        <v>8</v>
      </c>
      <c r="G308" s="90">
        <f>130777-1495-3309</f>
        <v>125973</v>
      </c>
      <c r="H308" s="91"/>
    </row>
    <row r="309" spans="1:8" ht="15.75" thickBot="1" x14ac:dyDescent="0.3">
      <c r="A309" s="3" t="s">
        <v>9</v>
      </c>
      <c r="B309" s="6">
        <f>G309*76%</f>
        <v>95739.48</v>
      </c>
      <c r="C309" s="12"/>
      <c r="D309" s="26">
        <f>G309-B309</f>
        <v>30233.520000000004</v>
      </c>
      <c r="E309" s="8" t="s">
        <v>8</v>
      </c>
      <c r="F309" s="8" t="s">
        <v>8</v>
      </c>
      <c r="G309" s="90">
        <f>G308-G310</f>
        <v>125973</v>
      </c>
      <c r="H309" s="91"/>
    </row>
    <row r="310" spans="1:8" ht="15.75" thickBot="1" x14ac:dyDescent="0.3">
      <c r="A310" s="2" t="s">
        <v>10</v>
      </c>
      <c r="B310" s="6">
        <v>0</v>
      </c>
      <c r="C310" s="12"/>
      <c r="D310" s="6">
        <v>0</v>
      </c>
      <c r="E310" s="8" t="s">
        <v>8</v>
      </c>
      <c r="F310" s="8" t="s">
        <v>8</v>
      </c>
      <c r="G310" s="90"/>
      <c r="H310" s="91"/>
    </row>
    <row r="311" spans="1:8" ht="60.75" thickBot="1" x14ac:dyDescent="0.3">
      <c r="A311" s="2" t="s">
        <v>11</v>
      </c>
      <c r="B311" s="6">
        <f>G311*76%</f>
        <v>28201.32</v>
      </c>
      <c r="C311" s="12"/>
      <c r="D311" s="26">
        <f>G311-B311</f>
        <v>8905.68</v>
      </c>
      <c r="E311" s="8" t="s">
        <v>8</v>
      </c>
      <c r="F311" s="8" t="s">
        <v>8</v>
      </c>
      <c r="G311" s="90">
        <f>37474-367</f>
        <v>37107</v>
      </c>
      <c r="H311" s="91"/>
    </row>
    <row r="312" spans="1:8" ht="30.75" thickBot="1" x14ac:dyDescent="0.3">
      <c r="A312" s="2" t="s">
        <v>12</v>
      </c>
      <c r="B312" s="6">
        <f>G312*76%</f>
        <v>3929.96</v>
      </c>
      <c r="C312" s="12"/>
      <c r="D312" s="26">
        <f>G312-B312</f>
        <v>1241.04</v>
      </c>
      <c r="E312" s="8" t="s">
        <v>8</v>
      </c>
      <c r="F312" s="8" t="s">
        <v>8</v>
      </c>
      <c r="G312" s="90">
        <f>367+1495+3309</f>
        <v>5171</v>
      </c>
      <c r="H312" s="91"/>
    </row>
    <row r="313" spans="1:8" ht="15.75" thickBot="1" x14ac:dyDescent="0.3">
      <c r="A313" s="2" t="s">
        <v>13</v>
      </c>
      <c r="B313" s="6">
        <f>G313*56%</f>
        <v>0</v>
      </c>
      <c r="C313" s="6"/>
      <c r="D313" s="26">
        <f>G313-B313</f>
        <v>0</v>
      </c>
      <c r="E313" s="8" t="s">
        <v>8</v>
      </c>
      <c r="F313" s="8" t="s">
        <v>8</v>
      </c>
      <c r="G313" s="90">
        <v>0</v>
      </c>
      <c r="H313" s="91"/>
    </row>
    <row r="314" spans="1:8" ht="30.75" thickBot="1" x14ac:dyDescent="0.3">
      <c r="A314" s="2" t="s">
        <v>14</v>
      </c>
      <c r="B314" s="6">
        <f>G314*56%</f>
        <v>3467.5200000000004</v>
      </c>
      <c r="C314" s="6"/>
      <c r="D314" s="26">
        <f>G314-B314</f>
        <v>2724.4799999999996</v>
      </c>
      <c r="E314" s="8" t="s">
        <v>8</v>
      </c>
      <c r="F314" s="8" t="s">
        <v>8</v>
      </c>
      <c r="G314" s="90">
        <v>6192</v>
      </c>
      <c r="H314" s="91"/>
    </row>
    <row r="315" spans="1:8" ht="45.75" thickBot="1" x14ac:dyDescent="0.3">
      <c r="A315" s="2" t="s">
        <v>15</v>
      </c>
      <c r="B315" s="8" t="s">
        <v>8</v>
      </c>
      <c r="C315" s="8" t="s">
        <v>8</v>
      </c>
      <c r="D315" s="6"/>
      <c r="E315" s="8" t="s">
        <v>8</v>
      </c>
      <c r="F315" s="8" t="s">
        <v>8</v>
      </c>
      <c r="G315" s="90"/>
      <c r="H315" s="91"/>
    </row>
    <row r="316" spans="1:8" ht="15.75" thickBot="1" x14ac:dyDescent="0.3">
      <c r="A316" s="2" t="s">
        <v>16</v>
      </c>
      <c r="B316" s="8" t="s">
        <v>8</v>
      </c>
      <c r="C316" s="8" t="s">
        <v>8</v>
      </c>
      <c r="D316" s="12"/>
      <c r="E316" s="6">
        <v>12000</v>
      </c>
      <c r="F316" s="6"/>
      <c r="G316" s="90">
        <v>12000</v>
      </c>
      <c r="H316" s="91"/>
    </row>
    <row r="317" spans="1:8" ht="15.75" thickBot="1" x14ac:dyDescent="0.3">
      <c r="A317" s="3" t="s">
        <v>17</v>
      </c>
      <c r="B317" s="6">
        <f>G317*56%</f>
        <v>2651.6000000000004</v>
      </c>
      <c r="C317" s="8"/>
      <c r="D317" s="6"/>
      <c r="E317" s="6">
        <f>G317-B317</f>
        <v>2083.3999999999996</v>
      </c>
      <c r="F317" s="6"/>
      <c r="G317" s="90">
        <v>4735</v>
      </c>
      <c r="H317" s="91"/>
    </row>
    <row r="318" spans="1:8" ht="15.75" thickBot="1" x14ac:dyDescent="0.3">
      <c r="A318" s="3" t="s">
        <v>18</v>
      </c>
      <c r="B318" s="6"/>
      <c r="C318" s="8"/>
      <c r="D318" s="8"/>
      <c r="E318" s="6"/>
      <c r="F318" s="6"/>
      <c r="G318" s="90"/>
      <c r="H318" s="91"/>
    </row>
    <row r="319" spans="1:8" ht="45.75" thickBot="1" x14ac:dyDescent="0.3">
      <c r="A319" s="2" t="s">
        <v>19</v>
      </c>
      <c r="B319" s="6"/>
      <c r="C319" s="8"/>
      <c r="D319" s="6"/>
      <c r="E319" s="6"/>
      <c r="F319" s="6"/>
      <c r="G319" s="94"/>
      <c r="H319" s="95"/>
    </row>
    <row r="320" spans="1:8" ht="30.75" thickBot="1" x14ac:dyDescent="0.3">
      <c r="A320" s="2" t="s">
        <v>20</v>
      </c>
      <c r="B320" s="6">
        <f>G320*56%</f>
        <v>55.440000000000005</v>
      </c>
      <c r="C320" s="8"/>
      <c r="D320" s="6"/>
      <c r="E320" s="6">
        <f>G320-B320</f>
        <v>43.559999999999995</v>
      </c>
      <c r="F320" s="6"/>
      <c r="G320" s="90">
        <v>99</v>
      </c>
      <c r="H320" s="91"/>
    </row>
    <row r="321" spans="1:8" ht="30.75" thickBot="1" x14ac:dyDescent="0.3">
      <c r="A321" s="2" t="s">
        <v>21</v>
      </c>
      <c r="B321" s="6">
        <f>G321*56%</f>
        <v>4113.76</v>
      </c>
      <c r="C321" s="6"/>
      <c r="D321" s="26">
        <f>G321-B321</f>
        <v>3232.24</v>
      </c>
      <c r="E321" s="8" t="s">
        <v>8</v>
      </c>
      <c r="F321" s="8" t="s">
        <v>8</v>
      </c>
      <c r="G321" s="90">
        <f>294+6894+158</f>
        <v>7346</v>
      </c>
      <c r="H321" s="91"/>
    </row>
    <row r="322" spans="1:8" ht="15.75" thickBot="1" x14ac:dyDescent="0.3">
      <c r="A322" s="3" t="s">
        <v>22</v>
      </c>
      <c r="B322" s="6">
        <f>G322*56%</f>
        <v>256.48</v>
      </c>
      <c r="C322" s="6"/>
      <c r="D322" s="26">
        <f>G322-B322</f>
        <v>201.51999999999998</v>
      </c>
      <c r="E322" s="8" t="s">
        <v>8</v>
      </c>
      <c r="F322" s="8" t="s">
        <v>8</v>
      </c>
      <c r="G322" s="90">
        <f>18+440</f>
        <v>458</v>
      </c>
      <c r="H322" s="91"/>
    </row>
    <row r="323" spans="1:8" ht="15.75" thickBot="1" x14ac:dyDescent="0.3">
      <c r="A323" s="3" t="s">
        <v>23</v>
      </c>
      <c r="B323" s="8" t="s">
        <v>8</v>
      </c>
      <c r="C323" s="12"/>
      <c r="D323" s="8" t="s">
        <v>8</v>
      </c>
      <c r="E323" s="8" t="s">
        <v>8</v>
      </c>
      <c r="F323" s="8" t="s">
        <v>8</v>
      </c>
      <c r="G323" s="94"/>
      <c r="H323" s="95"/>
    </row>
    <row r="324" spans="1:8" ht="15.75" thickBot="1" x14ac:dyDescent="0.3">
      <c r="A324" s="3" t="s">
        <v>24</v>
      </c>
      <c r="B324" s="6">
        <f>G324*56%</f>
        <v>0</v>
      </c>
      <c r="C324" s="6"/>
      <c r="D324" s="6"/>
      <c r="E324" s="8" t="s">
        <v>8</v>
      </c>
      <c r="F324" s="8" t="s">
        <v>8</v>
      </c>
      <c r="G324" s="90"/>
      <c r="H324" s="91"/>
    </row>
    <row r="325" spans="1:8" ht="15.75" thickBot="1" x14ac:dyDescent="0.3">
      <c r="A325" s="4" t="s">
        <v>25</v>
      </c>
      <c r="B325" s="6">
        <f>SUM(B309:B324)</f>
        <v>138415.56000000003</v>
      </c>
      <c r="C325" s="6"/>
      <c r="D325" s="6">
        <f>SUM(D309:D324)</f>
        <v>46538.479999999996</v>
      </c>
      <c r="E325" s="6">
        <f>SUM(E309:E324)</f>
        <v>14126.96</v>
      </c>
      <c r="F325" s="6"/>
      <c r="G325" s="90">
        <f>SUM(G309:H324)</f>
        <v>199081</v>
      </c>
      <c r="H325" s="91"/>
    </row>
    <row r="326" spans="1:8" x14ac:dyDescent="0.25">
      <c r="A326" s="92" t="s">
        <v>26</v>
      </c>
      <c r="B326" s="92"/>
      <c r="C326" s="92"/>
      <c r="D326" s="92"/>
      <c r="E326" s="92"/>
      <c r="F326" s="92"/>
      <c r="G326" s="92"/>
      <c r="H326" s="92"/>
    </row>
    <row r="327" spans="1:8" x14ac:dyDescent="0.25">
      <c r="A327" s="93" t="s">
        <v>27</v>
      </c>
      <c r="B327" s="93"/>
      <c r="C327" s="93"/>
      <c r="D327" s="93"/>
      <c r="E327" s="93"/>
      <c r="F327" s="93"/>
      <c r="G327" s="93"/>
      <c r="H327" s="93"/>
    </row>
    <row r="328" spans="1:8" x14ac:dyDescent="0.25">
      <c r="A328" s="93" t="s">
        <v>28</v>
      </c>
      <c r="B328" s="93"/>
      <c r="C328" s="93"/>
      <c r="D328" s="93"/>
      <c r="E328" s="93"/>
      <c r="F328" s="93"/>
      <c r="G328" s="93"/>
      <c r="H328" s="93"/>
    </row>
    <row r="329" spans="1:8" x14ac:dyDescent="0.25">
      <c r="A329" s="1"/>
      <c r="B329" s="9"/>
      <c r="C329" s="9"/>
      <c r="D329" s="9"/>
      <c r="E329" s="9"/>
      <c r="F329" s="9"/>
      <c r="G329" s="9"/>
      <c r="H329" s="9"/>
    </row>
    <row r="330" spans="1:8" ht="15.75" x14ac:dyDescent="0.25">
      <c r="A330" s="5"/>
    </row>
    <row r="331" spans="1:8" x14ac:dyDescent="0.25">
      <c r="B331" s="13" t="s">
        <v>40</v>
      </c>
      <c r="C331" s="13">
        <v>172036</v>
      </c>
    </row>
    <row r="332" spans="1:8" x14ac:dyDescent="0.25">
      <c r="B332" s="13"/>
      <c r="C332" s="10">
        <f>C331-B325</f>
        <v>33620.439999999973</v>
      </c>
    </row>
    <row r="334" spans="1:8" x14ac:dyDescent="0.25">
      <c r="A334" s="22"/>
      <c r="B334" s="23"/>
      <c r="C334" s="23"/>
      <c r="D334" s="23"/>
      <c r="E334" s="112" t="s">
        <v>29</v>
      </c>
      <c r="F334" s="112"/>
      <c r="G334" s="112"/>
      <c r="H334" s="112"/>
    </row>
    <row r="335" spans="1:8" x14ac:dyDescent="0.25">
      <c r="A335" s="113"/>
      <c r="B335" s="114"/>
      <c r="C335" s="114"/>
      <c r="D335" s="115"/>
      <c r="E335" s="115" t="s">
        <v>0</v>
      </c>
      <c r="F335" s="115"/>
      <c r="G335" s="115"/>
      <c r="H335" s="115"/>
    </row>
    <row r="336" spans="1:8" x14ac:dyDescent="0.25">
      <c r="A336" s="113"/>
      <c r="B336" s="114"/>
      <c r="C336" s="114"/>
      <c r="D336" s="115"/>
      <c r="E336" s="115" t="s">
        <v>1</v>
      </c>
      <c r="F336" s="115"/>
      <c r="G336" s="115"/>
      <c r="H336" s="115"/>
    </row>
    <row r="337" spans="1:9" ht="15.75" thickBot="1" x14ac:dyDescent="0.3">
      <c r="A337" s="98" t="s">
        <v>79</v>
      </c>
      <c r="B337" s="98"/>
      <c r="C337" s="98"/>
      <c r="D337" s="98"/>
      <c r="E337" s="98"/>
      <c r="F337" s="98"/>
      <c r="G337" s="99"/>
      <c r="H337" s="99"/>
    </row>
    <row r="338" spans="1:9" ht="15.75" thickBot="1" x14ac:dyDescent="0.3">
      <c r="A338" s="100" t="s">
        <v>2</v>
      </c>
      <c r="B338" s="103" t="s">
        <v>30</v>
      </c>
      <c r="C338" s="104"/>
      <c r="D338" s="104"/>
      <c r="E338" s="104"/>
      <c r="F338" s="104"/>
      <c r="G338" s="105" t="s">
        <v>3</v>
      </c>
      <c r="H338" s="106"/>
    </row>
    <row r="339" spans="1:9" ht="105.75" thickBot="1" x14ac:dyDescent="0.3">
      <c r="A339" s="101"/>
      <c r="B339" s="96" t="s">
        <v>30</v>
      </c>
      <c r="C339" s="107"/>
      <c r="D339" s="25" t="s">
        <v>32</v>
      </c>
      <c r="E339" s="107" t="s">
        <v>4</v>
      </c>
      <c r="F339" s="97"/>
      <c r="G339" s="108"/>
      <c r="H339" s="109"/>
    </row>
    <row r="340" spans="1:9" ht="150.75" thickBot="1" x14ac:dyDescent="0.3">
      <c r="A340" s="102"/>
      <c r="B340" s="7" t="s">
        <v>36</v>
      </c>
      <c r="C340" s="7" t="s">
        <v>5</v>
      </c>
      <c r="D340" s="7" t="s">
        <v>33</v>
      </c>
      <c r="E340" s="7" t="s">
        <v>34</v>
      </c>
      <c r="F340" s="7" t="s">
        <v>35</v>
      </c>
      <c r="G340" s="110"/>
      <c r="H340" s="111"/>
    </row>
    <row r="341" spans="1:9" ht="15.75" thickBot="1" x14ac:dyDescent="0.3">
      <c r="A341" s="24">
        <v>1</v>
      </c>
      <c r="B341" s="7">
        <v>2</v>
      </c>
      <c r="C341" s="11">
        <v>3</v>
      </c>
      <c r="D341" s="7">
        <v>4</v>
      </c>
      <c r="E341" s="11">
        <v>5</v>
      </c>
      <c r="F341" s="7">
        <v>6</v>
      </c>
      <c r="G341" s="96" t="s">
        <v>37</v>
      </c>
      <c r="H341" s="97"/>
    </row>
    <row r="342" spans="1:9" ht="60.75" thickBot="1" x14ac:dyDescent="0.3">
      <c r="A342" s="2" t="s">
        <v>7</v>
      </c>
      <c r="B342" s="6">
        <f>B343</f>
        <v>109557.8</v>
      </c>
      <c r="C342" s="12"/>
      <c r="D342" s="6">
        <f>D343</f>
        <v>34597.199999999997</v>
      </c>
      <c r="E342" s="8" t="s">
        <v>8</v>
      </c>
      <c r="F342" s="8" t="s">
        <v>8</v>
      </c>
      <c r="G342" s="90">
        <f>149074-1610-3309</f>
        <v>144155</v>
      </c>
      <c r="H342" s="91"/>
    </row>
    <row r="343" spans="1:9" ht="15.75" thickBot="1" x14ac:dyDescent="0.3">
      <c r="A343" s="3" t="s">
        <v>9</v>
      </c>
      <c r="B343" s="6">
        <f>G343*76%</f>
        <v>109557.8</v>
      </c>
      <c r="C343" s="12"/>
      <c r="D343" s="26">
        <f>G343-B343</f>
        <v>34597.199999999997</v>
      </c>
      <c r="E343" s="8" t="s">
        <v>8</v>
      </c>
      <c r="F343" s="8" t="s">
        <v>8</v>
      </c>
      <c r="G343" s="90">
        <f>G342-G344</f>
        <v>144155</v>
      </c>
      <c r="H343" s="91"/>
    </row>
    <row r="344" spans="1:9" ht="15.75" thickBot="1" x14ac:dyDescent="0.3">
      <c r="A344" s="2" t="s">
        <v>10</v>
      </c>
      <c r="B344" s="6">
        <v>0</v>
      </c>
      <c r="C344" s="12"/>
      <c r="D344" s="6">
        <v>0</v>
      </c>
      <c r="E344" s="8" t="s">
        <v>8</v>
      </c>
      <c r="F344" s="8" t="s">
        <v>8</v>
      </c>
      <c r="G344" s="90"/>
      <c r="H344" s="91"/>
    </row>
    <row r="345" spans="1:9" ht="60.75" thickBot="1" x14ac:dyDescent="0.3">
      <c r="A345" s="2" t="s">
        <v>11</v>
      </c>
      <c r="B345" s="6">
        <f>G345*76%</f>
        <v>31883.52</v>
      </c>
      <c r="C345" s="12"/>
      <c r="D345" s="26">
        <f>G345-B345</f>
        <v>10068.48</v>
      </c>
      <c r="E345" s="8" t="s">
        <v>8</v>
      </c>
      <c r="F345" s="8" t="s">
        <v>8</v>
      </c>
      <c r="G345" s="90">
        <f>42355-403</f>
        <v>41952</v>
      </c>
      <c r="H345" s="91"/>
    </row>
    <row r="346" spans="1:9" ht="30.75" thickBot="1" x14ac:dyDescent="0.3">
      <c r="A346" s="2" t="s">
        <v>12</v>
      </c>
      <c r="B346" s="6">
        <f>G346*76%</f>
        <v>4044.7200000000003</v>
      </c>
      <c r="C346" s="12"/>
      <c r="D346" s="26">
        <f>G346-B346</f>
        <v>1277.2799999999997</v>
      </c>
      <c r="E346" s="8" t="s">
        <v>8</v>
      </c>
      <c r="F346" s="8" t="s">
        <v>8</v>
      </c>
      <c r="G346" s="90">
        <f>1610+3309+403</f>
        <v>5322</v>
      </c>
      <c r="H346" s="91"/>
      <c r="I346" s="10">
        <f>G342+G345+G346</f>
        <v>191429</v>
      </c>
    </row>
    <row r="347" spans="1:9" ht="15.75" thickBot="1" x14ac:dyDescent="0.3">
      <c r="A347" s="2" t="s">
        <v>13</v>
      </c>
      <c r="B347" s="6">
        <f>G347*56%</f>
        <v>0</v>
      </c>
      <c r="C347" s="6"/>
      <c r="D347" s="26">
        <f>G347-B347</f>
        <v>0</v>
      </c>
      <c r="E347" s="8" t="s">
        <v>8</v>
      </c>
      <c r="F347" s="8" t="s">
        <v>8</v>
      </c>
      <c r="G347" s="90">
        <v>0</v>
      </c>
      <c r="H347" s="91"/>
      <c r="I347">
        <v>191428</v>
      </c>
    </row>
    <row r="348" spans="1:9" ht="30.75" thickBot="1" x14ac:dyDescent="0.3">
      <c r="A348" s="2" t="s">
        <v>14</v>
      </c>
      <c r="B348" s="6">
        <f>G348*56%</f>
        <v>6598.4800000000005</v>
      </c>
      <c r="C348" s="6"/>
      <c r="D348" s="26">
        <f>G348-B348</f>
        <v>5184.5199999999995</v>
      </c>
      <c r="E348" s="8" t="s">
        <v>8</v>
      </c>
      <c r="F348" s="8" t="s">
        <v>8</v>
      </c>
      <c r="G348" s="90">
        <v>11783</v>
      </c>
      <c r="H348" s="91"/>
      <c r="I348" s="10">
        <f>I346-I347</f>
        <v>1</v>
      </c>
    </row>
    <row r="349" spans="1:9" ht="45.75" thickBot="1" x14ac:dyDescent="0.3">
      <c r="A349" s="2" t="s">
        <v>15</v>
      </c>
      <c r="B349" s="8" t="s">
        <v>8</v>
      </c>
      <c r="C349" s="8" t="s">
        <v>8</v>
      </c>
      <c r="D349" s="6"/>
      <c r="E349" s="8" t="s">
        <v>8</v>
      </c>
      <c r="F349" s="8" t="s">
        <v>8</v>
      </c>
      <c r="G349" s="90"/>
      <c r="H349" s="91"/>
    </row>
    <row r="350" spans="1:9" ht="15.75" thickBot="1" x14ac:dyDescent="0.3">
      <c r="A350" s="2" t="s">
        <v>16</v>
      </c>
      <c r="B350" s="8" t="s">
        <v>8</v>
      </c>
      <c r="C350" s="8" t="s">
        <v>8</v>
      </c>
      <c r="D350" s="12"/>
      <c r="E350" s="6">
        <v>13500</v>
      </c>
      <c r="F350" s="6"/>
      <c r="G350" s="90">
        <v>13500</v>
      </c>
      <c r="H350" s="91"/>
    </row>
    <row r="351" spans="1:9" ht="15.75" thickBot="1" x14ac:dyDescent="0.3">
      <c r="A351" s="3" t="s">
        <v>17</v>
      </c>
      <c r="B351" s="6">
        <f>G351*56%</f>
        <v>2651.6000000000004</v>
      </c>
      <c r="C351" s="8"/>
      <c r="D351" s="6"/>
      <c r="E351" s="6">
        <f>G351-B351</f>
        <v>2083.3999999999996</v>
      </c>
      <c r="F351" s="6"/>
      <c r="G351" s="90">
        <v>4735</v>
      </c>
      <c r="H351" s="91"/>
    </row>
    <row r="352" spans="1:9" ht="15.75" thickBot="1" x14ac:dyDescent="0.3">
      <c r="A352" s="3" t="s">
        <v>18</v>
      </c>
      <c r="B352" s="6"/>
      <c r="C352" s="8"/>
      <c r="D352" s="8"/>
      <c r="E352" s="6"/>
      <c r="F352" s="6"/>
      <c r="G352" s="90"/>
      <c r="H352" s="91"/>
    </row>
    <row r="353" spans="1:8" ht="45.75" thickBot="1" x14ac:dyDescent="0.3">
      <c r="A353" s="2" t="s">
        <v>19</v>
      </c>
      <c r="B353" s="6"/>
      <c r="C353" s="8"/>
      <c r="D353" s="6"/>
      <c r="E353" s="6"/>
      <c r="F353" s="6"/>
      <c r="G353" s="94"/>
      <c r="H353" s="95"/>
    </row>
    <row r="354" spans="1:8" ht="30.75" thickBot="1" x14ac:dyDescent="0.3">
      <c r="A354" s="2" t="s">
        <v>20</v>
      </c>
      <c r="B354" s="6">
        <f>G354*56%</f>
        <v>72.800000000000011</v>
      </c>
      <c r="C354" s="8"/>
      <c r="D354" s="6"/>
      <c r="E354" s="6">
        <f>G354-B354</f>
        <v>57.199999999999989</v>
      </c>
      <c r="F354" s="6"/>
      <c r="G354" s="90">
        <v>130</v>
      </c>
      <c r="H354" s="91"/>
    </row>
    <row r="355" spans="1:8" ht="30.75" thickBot="1" x14ac:dyDescent="0.3">
      <c r="A355" s="2" t="s">
        <v>21</v>
      </c>
      <c r="B355" s="6">
        <f>G355*56%</f>
        <v>5276.88</v>
      </c>
      <c r="C355" s="6"/>
      <c r="D355" s="26">
        <f>G355-B355</f>
        <v>4146.12</v>
      </c>
      <c r="E355" s="8" t="s">
        <v>8</v>
      </c>
      <c r="F355" s="8" t="s">
        <v>8</v>
      </c>
      <c r="G355" s="90">
        <f>570+8695+158</f>
        <v>9423</v>
      </c>
      <c r="H355" s="91"/>
    </row>
    <row r="356" spans="1:8" ht="15.75" thickBot="1" x14ac:dyDescent="0.3">
      <c r="A356" s="3" t="s">
        <v>22</v>
      </c>
      <c r="B356" s="6">
        <f>G356*56%</f>
        <v>267.12</v>
      </c>
      <c r="C356" s="6"/>
      <c r="D356" s="26">
        <f>G356-B356</f>
        <v>209.88</v>
      </c>
      <c r="E356" s="8" t="s">
        <v>8</v>
      </c>
      <c r="F356" s="8" t="s">
        <v>8</v>
      </c>
      <c r="G356" s="90">
        <f>459+18</f>
        <v>477</v>
      </c>
      <c r="H356" s="91"/>
    </row>
    <row r="357" spans="1:8" ht="15.75" thickBot="1" x14ac:dyDescent="0.3">
      <c r="A357" s="3" t="s">
        <v>23</v>
      </c>
      <c r="B357" s="8" t="s">
        <v>8</v>
      </c>
      <c r="C357" s="12"/>
      <c r="D357" s="8" t="s">
        <v>8</v>
      </c>
      <c r="E357" s="8" t="s">
        <v>8</v>
      </c>
      <c r="F357" s="8" t="s">
        <v>8</v>
      </c>
      <c r="G357" s="94"/>
      <c r="H357" s="95"/>
    </row>
    <row r="358" spans="1:8" ht="15.75" thickBot="1" x14ac:dyDescent="0.3">
      <c r="A358" s="3" t="s">
        <v>24</v>
      </c>
      <c r="B358" s="6">
        <f>G358*56%</f>
        <v>0</v>
      </c>
      <c r="C358" s="6"/>
      <c r="D358" s="6"/>
      <c r="E358" s="8" t="s">
        <v>8</v>
      </c>
      <c r="F358" s="8" t="s">
        <v>8</v>
      </c>
      <c r="G358" s="90"/>
      <c r="H358" s="91"/>
    </row>
    <row r="359" spans="1:8" ht="15.75" thickBot="1" x14ac:dyDescent="0.3">
      <c r="A359" s="4" t="s">
        <v>25</v>
      </c>
      <c r="B359" s="6">
        <f>SUM(B343:B358)</f>
        <v>160352.92000000001</v>
      </c>
      <c r="C359" s="6"/>
      <c r="D359" s="6">
        <f>SUM(D343:D358)</f>
        <v>55483.479999999989</v>
      </c>
      <c r="E359" s="6">
        <f>SUM(E343:E358)</f>
        <v>15640.6</v>
      </c>
      <c r="F359" s="6"/>
      <c r="G359" s="90">
        <f>SUM(G343:H358)</f>
        <v>231477</v>
      </c>
      <c r="H359" s="91"/>
    </row>
    <row r="360" spans="1:8" x14ac:dyDescent="0.25">
      <c r="A360" s="92" t="s">
        <v>26</v>
      </c>
      <c r="B360" s="92"/>
      <c r="C360" s="92"/>
      <c r="D360" s="92"/>
      <c r="E360" s="92"/>
      <c r="F360" s="92"/>
      <c r="G360" s="92"/>
      <c r="H360" s="92"/>
    </row>
    <row r="361" spans="1:8" x14ac:dyDescent="0.25">
      <c r="A361" s="93" t="s">
        <v>27</v>
      </c>
      <c r="B361" s="93"/>
      <c r="C361" s="93"/>
      <c r="D361" s="93"/>
      <c r="E361" s="93"/>
      <c r="F361" s="93"/>
      <c r="G361" s="93"/>
      <c r="H361" s="93"/>
    </row>
    <row r="362" spans="1:8" x14ac:dyDescent="0.25">
      <c r="A362" s="93" t="s">
        <v>28</v>
      </c>
      <c r="B362" s="93"/>
      <c r="C362" s="93"/>
      <c r="D362" s="93"/>
      <c r="E362" s="93"/>
      <c r="F362" s="93"/>
      <c r="G362" s="93"/>
      <c r="H362" s="93"/>
    </row>
    <row r="363" spans="1:8" x14ac:dyDescent="0.25">
      <c r="A363" s="1"/>
      <c r="B363" s="9"/>
      <c r="C363" s="9"/>
      <c r="D363" s="9"/>
      <c r="E363" s="9"/>
      <c r="F363" s="9"/>
      <c r="G363" s="9"/>
      <c r="H363" s="9"/>
    </row>
    <row r="364" spans="1:8" ht="15.75" x14ac:dyDescent="0.25">
      <c r="A364" s="5"/>
    </row>
    <row r="365" spans="1:8" x14ac:dyDescent="0.25">
      <c r="B365" s="13" t="s">
        <v>80</v>
      </c>
      <c r="C365" s="13">
        <v>191681</v>
      </c>
    </row>
    <row r="366" spans="1:8" x14ac:dyDescent="0.25">
      <c r="C366" s="10">
        <f>C365-B359</f>
        <v>31328.079999999987</v>
      </c>
    </row>
    <row r="370" spans="1:9" x14ac:dyDescent="0.25">
      <c r="A370" s="22"/>
      <c r="B370" s="23"/>
      <c r="C370" s="23"/>
      <c r="D370" s="23"/>
      <c r="E370" s="112" t="s">
        <v>29</v>
      </c>
      <c r="F370" s="112"/>
      <c r="G370" s="112"/>
      <c r="H370" s="112"/>
    </row>
    <row r="371" spans="1:9" x14ac:dyDescent="0.25">
      <c r="A371" s="113"/>
      <c r="B371" s="114"/>
      <c r="C371" s="114"/>
      <c r="D371" s="115"/>
      <c r="E371" s="115" t="s">
        <v>0</v>
      </c>
      <c r="F371" s="115"/>
      <c r="G371" s="115"/>
      <c r="H371" s="115"/>
    </row>
    <row r="372" spans="1:9" x14ac:dyDescent="0.25">
      <c r="A372" s="113"/>
      <c r="B372" s="114"/>
      <c r="C372" s="114"/>
      <c r="D372" s="115"/>
      <c r="E372" s="115" t="s">
        <v>1</v>
      </c>
      <c r="F372" s="115"/>
      <c r="G372" s="115"/>
      <c r="H372" s="115"/>
    </row>
    <row r="373" spans="1:9" ht="15.75" thickBot="1" x14ac:dyDescent="0.3">
      <c r="A373" s="98" t="s">
        <v>81</v>
      </c>
      <c r="B373" s="98"/>
      <c r="C373" s="98"/>
      <c r="D373" s="98"/>
      <c r="E373" s="98"/>
      <c r="F373" s="98"/>
      <c r="G373" s="99"/>
      <c r="H373" s="99"/>
    </row>
    <row r="374" spans="1:9" ht="15.75" thickBot="1" x14ac:dyDescent="0.3">
      <c r="A374" s="100" t="s">
        <v>2</v>
      </c>
      <c r="B374" s="103" t="s">
        <v>30</v>
      </c>
      <c r="C374" s="104"/>
      <c r="D374" s="104"/>
      <c r="E374" s="104"/>
      <c r="F374" s="104"/>
      <c r="G374" s="105" t="s">
        <v>3</v>
      </c>
      <c r="H374" s="106"/>
    </row>
    <row r="375" spans="1:9" ht="105.75" thickBot="1" x14ac:dyDescent="0.3">
      <c r="A375" s="101"/>
      <c r="B375" s="96" t="s">
        <v>30</v>
      </c>
      <c r="C375" s="107"/>
      <c r="D375" s="25" t="s">
        <v>32</v>
      </c>
      <c r="E375" s="107" t="s">
        <v>4</v>
      </c>
      <c r="F375" s="97"/>
      <c r="G375" s="108"/>
      <c r="H375" s="109"/>
    </row>
    <row r="376" spans="1:9" ht="150.75" thickBot="1" x14ac:dyDescent="0.3">
      <c r="A376" s="102"/>
      <c r="B376" s="7" t="s">
        <v>36</v>
      </c>
      <c r="C376" s="7" t="s">
        <v>5</v>
      </c>
      <c r="D376" s="7" t="s">
        <v>33</v>
      </c>
      <c r="E376" s="7" t="s">
        <v>34</v>
      </c>
      <c r="F376" s="7" t="s">
        <v>35</v>
      </c>
      <c r="G376" s="110"/>
      <c r="H376" s="111"/>
    </row>
    <row r="377" spans="1:9" ht="15.75" thickBot="1" x14ac:dyDescent="0.3">
      <c r="A377" s="24">
        <v>1</v>
      </c>
      <c r="B377" s="7">
        <v>2</v>
      </c>
      <c r="C377" s="11">
        <v>3</v>
      </c>
      <c r="D377" s="7">
        <v>4</v>
      </c>
      <c r="E377" s="11">
        <v>5</v>
      </c>
      <c r="F377" s="7">
        <v>6</v>
      </c>
      <c r="G377" s="96" t="s">
        <v>37</v>
      </c>
      <c r="H377" s="97"/>
    </row>
    <row r="378" spans="1:9" ht="60.75" thickBot="1" x14ac:dyDescent="0.3">
      <c r="A378" s="2" t="s">
        <v>7</v>
      </c>
      <c r="B378" s="6">
        <f>B379</f>
        <v>122515.04000000001</v>
      </c>
      <c r="C378" s="12"/>
      <c r="D378" s="6">
        <f>D379</f>
        <v>38688.959999999992</v>
      </c>
      <c r="E378" s="8" t="s">
        <v>8</v>
      </c>
      <c r="F378" s="8" t="s">
        <v>8</v>
      </c>
      <c r="G378" s="90">
        <f>166280-3351-1725</f>
        <v>161204</v>
      </c>
      <c r="H378" s="91"/>
    </row>
    <row r="379" spans="1:9" ht="15.75" thickBot="1" x14ac:dyDescent="0.3">
      <c r="A379" s="3" t="s">
        <v>9</v>
      </c>
      <c r="B379" s="6">
        <f>G379*76%</f>
        <v>122515.04000000001</v>
      </c>
      <c r="C379" s="12"/>
      <c r="D379" s="26">
        <f>G379-B379</f>
        <v>38688.959999999992</v>
      </c>
      <c r="E379" s="8" t="s">
        <v>8</v>
      </c>
      <c r="F379" s="8" t="s">
        <v>8</v>
      </c>
      <c r="G379" s="90">
        <f>G378-G380</f>
        <v>161204</v>
      </c>
      <c r="H379" s="91"/>
    </row>
    <row r="380" spans="1:9" ht="15.75" thickBot="1" x14ac:dyDescent="0.3">
      <c r="A380" s="2" t="s">
        <v>10</v>
      </c>
      <c r="B380" s="6">
        <v>0</v>
      </c>
      <c r="C380" s="12"/>
      <c r="D380" s="6">
        <v>0</v>
      </c>
      <c r="E380" s="8" t="s">
        <v>8</v>
      </c>
      <c r="F380" s="8" t="s">
        <v>8</v>
      </c>
      <c r="G380" s="90"/>
      <c r="H380" s="91"/>
    </row>
    <row r="381" spans="1:9" ht="60.75" thickBot="1" x14ac:dyDescent="0.3">
      <c r="A381" s="2" t="s">
        <v>11</v>
      </c>
      <c r="B381" s="6">
        <f>G381*76%</f>
        <v>36337.879999999997</v>
      </c>
      <c r="C381" s="12"/>
      <c r="D381" s="26">
        <f>G381-B381</f>
        <v>11475.120000000003</v>
      </c>
      <c r="E381" s="8" t="s">
        <v>8</v>
      </c>
      <c r="F381" s="8" t="s">
        <v>8</v>
      </c>
      <c r="G381" s="90">
        <f>48283-470</f>
        <v>47813</v>
      </c>
      <c r="H381" s="91"/>
    </row>
    <row r="382" spans="1:9" ht="30.75" thickBot="1" x14ac:dyDescent="0.3">
      <c r="A382" s="2" t="s">
        <v>12</v>
      </c>
      <c r="B382" s="6">
        <f>G382*76%</f>
        <v>4214.96</v>
      </c>
      <c r="C382" s="12"/>
      <c r="D382" s="26">
        <f>G382-B382</f>
        <v>1331.04</v>
      </c>
      <c r="E382" s="8" t="s">
        <v>8</v>
      </c>
      <c r="F382" s="8" t="s">
        <v>8</v>
      </c>
      <c r="G382" s="90">
        <f>470+3351+1725</f>
        <v>5546</v>
      </c>
      <c r="H382" s="91"/>
      <c r="I382" s="10">
        <f>G378+G381+G382</f>
        <v>214563</v>
      </c>
    </row>
    <row r="383" spans="1:9" ht="15.75" thickBot="1" x14ac:dyDescent="0.3">
      <c r="A383" s="2" t="s">
        <v>13</v>
      </c>
      <c r="B383" s="6">
        <f>G383*56%</f>
        <v>0</v>
      </c>
      <c r="C383" s="6"/>
      <c r="D383" s="26">
        <f>G383-B383</f>
        <v>0</v>
      </c>
      <c r="E383" s="8" t="s">
        <v>8</v>
      </c>
      <c r="F383" s="8" t="s">
        <v>8</v>
      </c>
      <c r="G383" s="90">
        <v>0</v>
      </c>
      <c r="H383" s="91"/>
      <c r="I383">
        <f>29022+130767</f>
        <v>159789</v>
      </c>
    </row>
    <row r="384" spans="1:9" ht="30.75" thickBot="1" x14ac:dyDescent="0.3">
      <c r="A384" s="2" t="s">
        <v>14</v>
      </c>
      <c r="B384" s="6">
        <f>G384*56%</f>
        <v>9763.0400000000009</v>
      </c>
      <c r="C384" s="6"/>
      <c r="D384" s="26">
        <f>G384-B384</f>
        <v>7670.9599999999991</v>
      </c>
      <c r="E384" s="8" t="s">
        <v>8</v>
      </c>
      <c r="F384" s="8" t="s">
        <v>8</v>
      </c>
      <c r="G384" s="90">
        <v>17434</v>
      </c>
      <c r="H384" s="91"/>
      <c r="I384" s="10">
        <f>I382-I383</f>
        <v>54774</v>
      </c>
    </row>
    <row r="385" spans="1:8" ht="45.75" thickBot="1" x14ac:dyDescent="0.3">
      <c r="A385" s="2" t="s">
        <v>15</v>
      </c>
      <c r="B385" s="8" t="s">
        <v>8</v>
      </c>
      <c r="C385" s="8" t="s">
        <v>8</v>
      </c>
      <c r="D385" s="6"/>
      <c r="E385" s="8" t="s">
        <v>8</v>
      </c>
      <c r="F385" s="8" t="s">
        <v>8</v>
      </c>
      <c r="G385" s="90"/>
      <c r="H385" s="91"/>
    </row>
    <row r="386" spans="1:8" ht="15.75" thickBot="1" x14ac:dyDescent="0.3">
      <c r="A386" s="2" t="s">
        <v>16</v>
      </c>
      <c r="B386" s="8" t="s">
        <v>8</v>
      </c>
      <c r="C386" s="8" t="s">
        <v>8</v>
      </c>
      <c r="D386" s="12"/>
      <c r="E386" s="6">
        <v>15000</v>
      </c>
      <c r="F386" s="6"/>
      <c r="G386" s="90">
        <v>15000</v>
      </c>
      <c r="H386" s="91"/>
    </row>
    <row r="387" spans="1:8" ht="15.75" thickBot="1" x14ac:dyDescent="0.3">
      <c r="A387" s="3" t="s">
        <v>17</v>
      </c>
      <c r="B387" s="6">
        <f>G387*56%</f>
        <v>2651.6000000000004</v>
      </c>
      <c r="C387" s="8"/>
      <c r="D387" s="6"/>
      <c r="E387" s="6">
        <f>G387-B387</f>
        <v>2083.3999999999996</v>
      </c>
      <c r="F387" s="6"/>
      <c r="G387" s="90">
        <v>4735</v>
      </c>
      <c r="H387" s="91"/>
    </row>
    <row r="388" spans="1:8" ht="15.75" thickBot="1" x14ac:dyDescent="0.3">
      <c r="A388" s="3" t="s">
        <v>18</v>
      </c>
      <c r="B388" s="6"/>
      <c r="C388" s="8"/>
      <c r="D388" s="8"/>
      <c r="E388" s="6"/>
      <c r="F388" s="6"/>
      <c r="G388" s="90"/>
      <c r="H388" s="91"/>
    </row>
    <row r="389" spans="1:8" ht="45.75" thickBot="1" x14ac:dyDescent="0.3">
      <c r="A389" s="2" t="s">
        <v>19</v>
      </c>
      <c r="B389" s="6"/>
      <c r="C389" s="8"/>
      <c r="D389" s="6"/>
      <c r="E389" s="6"/>
      <c r="F389" s="6"/>
      <c r="G389" s="94"/>
      <c r="H389" s="95"/>
    </row>
    <row r="390" spans="1:8" ht="30.75" thickBot="1" x14ac:dyDescent="0.3">
      <c r="A390" s="2" t="s">
        <v>20</v>
      </c>
      <c r="B390" s="6">
        <f>G390*56%</f>
        <v>101.36000000000001</v>
      </c>
      <c r="C390" s="8"/>
      <c r="D390" s="6"/>
      <c r="E390" s="6">
        <f>G390-B390</f>
        <v>79.639999999999986</v>
      </c>
      <c r="F390" s="6"/>
      <c r="G390" s="90">
        <v>181</v>
      </c>
      <c r="H390" s="91"/>
    </row>
    <row r="391" spans="1:8" ht="30.75" thickBot="1" x14ac:dyDescent="0.3">
      <c r="A391" s="2" t="s">
        <v>21</v>
      </c>
      <c r="B391" s="6">
        <f>G391*56%</f>
        <v>5648.1600000000008</v>
      </c>
      <c r="C391" s="6"/>
      <c r="D391" s="26">
        <f>G391-B391</f>
        <v>4437.8399999999992</v>
      </c>
      <c r="E391" s="8" t="s">
        <v>8</v>
      </c>
      <c r="F391" s="8" t="s">
        <v>8</v>
      </c>
      <c r="G391" s="90">
        <f>570+9358+158</f>
        <v>10086</v>
      </c>
      <c r="H391" s="91"/>
    </row>
    <row r="392" spans="1:8" ht="15.75" thickBot="1" x14ac:dyDescent="0.3">
      <c r="A392" s="3" t="s">
        <v>22</v>
      </c>
      <c r="B392" s="6">
        <f>G392*56%</f>
        <v>288.40000000000003</v>
      </c>
      <c r="C392" s="6"/>
      <c r="D392" s="26">
        <f>G392-B392</f>
        <v>226.59999999999997</v>
      </c>
      <c r="E392" s="8" t="s">
        <v>8</v>
      </c>
      <c r="F392" s="8" t="s">
        <v>8</v>
      </c>
      <c r="G392" s="90">
        <f>18+497</f>
        <v>515</v>
      </c>
      <c r="H392" s="91"/>
    </row>
    <row r="393" spans="1:8" ht="15.75" thickBot="1" x14ac:dyDescent="0.3">
      <c r="A393" s="3" t="s">
        <v>23</v>
      </c>
      <c r="B393" s="8" t="s">
        <v>8</v>
      </c>
      <c r="C393" s="12"/>
      <c r="D393" s="8" t="s">
        <v>8</v>
      </c>
      <c r="E393" s="8" t="s">
        <v>8</v>
      </c>
      <c r="F393" s="8" t="s">
        <v>8</v>
      </c>
      <c r="G393" s="94"/>
      <c r="H393" s="95"/>
    </row>
    <row r="394" spans="1:8" ht="15.75" thickBot="1" x14ac:dyDescent="0.3">
      <c r="A394" s="3" t="s">
        <v>24</v>
      </c>
      <c r="B394" s="6">
        <f>G394*56%</f>
        <v>0</v>
      </c>
      <c r="C394" s="6"/>
      <c r="D394" s="6"/>
      <c r="E394" s="8" t="s">
        <v>8</v>
      </c>
      <c r="F394" s="8" t="s">
        <v>8</v>
      </c>
      <c r="G394" s="90"/>
      <c r="H394" s="91"/>
    </row>
    <row r="395" spans="1:8" ht="15.75" thickBot="1" x14ac:dyDescent="0.3">
      <c r="A395" s="4" t="s">
        <v>25</v>
      </c>
      <c r="B395" s="6">
        <f>SUM(B379:B394)</f>
        <v>181520.44</v>
      </c>
      <c r="C395" s="6"/>
      <c r="D395" s="6">
        <f>SUM(D379:D394)</f>
        <v>63830.51999999999</v>
      </c>
      <c r="E395" s="6">
        <f>SUM(E379:E394)</f>
        <v>17163.04</v>
      </c>
      <c r="F395" s="6"/>
      <c r="G395" s="90">
        <f>SUM(G379:H394)</f>
        <v>262514</v>
      </c>
      <c r="H395" s="91"/>
    </row>
    <row r="396" spans="1:8" x14ac:dyDescent="0.25">
      <c r="A396" s="92" t="s">
        <v>26</v>
      </c>
      <c r="B396" s="92"/>
      <c r="C396" s="92"/>
      <c r="D396" s="92"/>
      <c r="E396" s="92"/>
      <c r="F396" s="92"/>
      <c r="G396" s="92"/>
      <c r="H396" s="92"/>
    </row>
    <row r="397" spans="1:8" x14ac:dyDescent="0.25">
      <c r="A397" s="93" t="s">
        <v>27</v>
      </c>
      <c r="B397" s="93"/>
      <c r="C397" s="93"/>
      <c r="D397" s="93"/>
      <c r="E397" s="93"/>
      <c r="F397" s="93"/>
      <c r="G397" s="93"/>
      <c r="H397" s="93"/>
    </row>
    <row r="398" spans="1:8" x14ac:dyDescent="0.25">
      <c r="A398" s="93" t="s">
        <v>28</v>
      </c>
      <c r="B398" s="93"/>
      <c r="C398" s="93"/>
      <c r="D398" s="93"/>
      <c r="E398" s="93"/>
      <c r="F398" s="93"/>
      <c r="G398" s="93"/>
      <c r="H398" s="93"/>
    </row>
    <row r="399" spans="1:8" x14ac:dyDescent="0.25">
      <c r="A399" s="1"/>
      <c r="B399" s="9"/>
      <c r="C399" s="9"/>
      <c r="D399" s="9"/>
      <c r="E399" s="9"/>
      <c r="F399" s="9"/>
      <c r="G399" s="9"/>
      <c r="H399" s="9"/>
    </row>
    <row r="400" spans="1:8" ht="15.75" x14ac:dyDescent="0.25">
      <c r="A400" s="5"/>
    </row>
    <row r="401" spans="1:8" x14ac:dyDescent="0.25">
      <c r="B401" s="13" t="s">
        <v>82</v>
      </c>
      <c r="C401" s="13">
        <v>211326</v>
      </c>
    </row>
    <row r="402" spans="1:8" x14ac:dyDescent="0.25">
      <c r="C402" s="10">
        <f>C401-B395</f>
        <v>29805.559999999998</v>
      </c>
    </row>
    <row r="409" spans="1:8" x14ac:dyDescent="0.25">
      <c r="A409" s="22"/>
      <c r="B409" s="23"/>
      <c r="C409" s="23"/>
      <c r="D409" s="23"/>
      <c r="E409" s="112" t="s">
        <v>29</v>
      </c>
      <c r="F409" s="112"/>
      <c r="G409" s="112"/>
      <c r="H409" s="112"/>
    </row>
    <row r="410" spans="1:8" x14ac:dyDescent="0.25">
      <c r="A410" s="113"/>
      <c r="B410" s="114"/>
      <c r="C410" s="114"/>
      <c r="D410" s="115"/>
      <c r="E410" s="115" t="s">
        <v>0</v>
      </c>
      <c r="F410" s="115"/>
      <c r="G410" s="115"/>
      <c r="H410" s="115"/>
    </row>
    <row r="411" spans="1:8" x14ac:dyDescent="0.25">
      <c r="A411" s="113"/>
      <c r="B411" s="114"/>
      <c r="C411" s="114"/>
      <c r="D411" s="115"/>
      <c r="E411" s="115" t="s">
        <v>1</v>
      </c>
      <c r="F411" s="115"/>
      <c r="G411" s="115"/>
      <c r="H411" s="115"/>
    </row>
    <row r="412" spans="1:8" ht="15.75" thickBot="1" x14ac:dyDescent="0.3">
      <c r="A412" s="98" t="s">
        <v>51</v>
      </c>
      <c r="B412" s="98"/>
      <c r="C412" s="98"/>
      <c r="D412" s="98"/>
      <c r="E412" s="98"/>
      <c r="F412" s="98"/>
      <c r="G412" s="99"/>
      <c r="H412" s="99"/>
    </row>
    <row r="413" spans="1:8" ht="15.75" thickBot="1" x14ac:dyDescent="0.3">
      <c r="A413" s="100" t="s">
        <v>2</v>
      </c>
      <c r="B413" s="103" t="s">
        <v>30</v>
      </c>
      <c r="C413" s="104"/>
      <c r="D413" s="104"/>
      <c r="E413" s="104"/>
      <c r="F413" s="104"/>
      <c r="G413" s="105" t="s">
        <v>3</v>
      </c>
      <c r="H413" s="106"/>
    </row>
    <row r="414" spans="1:8" ht="105.75" thickBot="1" x14ac:dyDescent="0.3">
      <c r="A414" s="101"/>
      <c r="B414" s="96" t="s">
        <v>30</v>
      </c>
      <c r="C414" s="107"/>
      <c r="D414" s="25" t="s">
        <v>32</v>
      </c>
      <c r="E414" s="107" t="s">
        <v>4</v>
      </c>
      <c r="F414" s="97"/>
      <c r="G414" s="108"/>
      <c r="H414" s="109"/>
    </row>
    <row r="415" spans="1:8" ht="150.75" thickBot="1" x14ac:dyDescent="0.3">
      <c r="A415" s="102"/>
      <c r="B415" s="7" t="s">
        <v>36</v>
      </c>
      <c r="C415" s="7" t="s">
        <v>5</v>
      </c>
      <c r="D415" s="7" t="s">
        <v>33</v>
      </c>
      <c r="E415" s="7" t="s">
        <v>34</v>
      </c>
      <c r="F415" s="7" t="s">
        <v>35</v>
      </c>
      <c r="G415" s="110"/>
      <c r="H415" s="111"/>
    </row>
    <row r="416" spans="1:8" ht="15.75" thickBot="1" x14ac:dyDescent="0.3">
      <c r="A416" s="24">
        <v>1</v>
      </c>
      <c r="B416" s="7">
        <v>2</v>
      </c>
      <c r="C416" s="11">
        <v>3</v>
      </c>
      <c r="D416" s="7">
        <v>4</v>
      </c>
      <c r="E416" s="11">
        <v>5</v>
      </c>
      <c r="F416" s="7">
        <v>6</v>
      </c>
      <c r="G416" s="96" t="s">
        <v>37</v>
      </c>
      <c r="H416" s="97"/>
    </row>
    <row r="417" spans="1:9" ht="60.75" thickBot="1" x14ac:dyDescent="0.3">
      <c r="A417" s="2" t="s">
        <v>7</v>
      </c>
      <c r="B417" s="6">
        <f>B418</f>
        <v>135609.84</v>
      </c>
      <c r="C417" s="12"/>
      <c r="D417" s="6">
        <f>D418</f>
        <v>42824.160000000003</v>
      </c>
      <c r="E417" s="8" t="s">
        <v>8</v>
      </c>
      <c r="F417" s="8" t="s">
        <v>8</v>
      </c>
      <c r="G417" s="90">
        <f>183317-3309-1725+151</f>
        <v>178434</v>
      </c>
      <c r="H417" s="91"/>
    </row>
    <row r="418" spans="1:9" ht="15.75" thickBot="1" x14ac:dyDescent="0.3">
      <c r="A418" s="3" t="s">
        <v>9</v>
      </c>
      <c r="B418" s="6">
        <f>G418*76%</f>
        <v>135609.84</v>
      </c>
      <c r="C418" s="12"/>
      <c r="D418" s="26">
        <f>G418-B418</f>
        <v>42824.160000000003</v>
      </c>
      <c r="E418" s="8" t="s">
        <v>8</v>
      </c>
      <c r="F418" s="8" t="s">
        <v>8</v>
      </c>
      <c r="G418" s="90">
        <f>G417-G419</f>
        <v>178434</v>
      </c>
      <c r="H418" s="91"/>
    </row>
    <row r="419" spans="1:9" ht="15.75" thickBot="1" x14ac:dyDescent="0.3">
      <c r="A419" s="2" t="s">
        <v>10</v>
      </c>
      <c r="B419" s="6">
        <v>0</v>
      </c>
      <c r="C419" s="12"/>
      <c r="D419" s="6">
        <v>0</v>
      </c>
      <c r="E419" s="8" t="s">
        <v>8</v>
      </c>
      <c r="F419" s="8" t="s">
        <v>8</v>
      </c>
      <c r="G419" s="90"/>
      <c r="H419" s="91"/>
      <c r="I419">
        <f>145707+32421</f>
        <v>178128</v>
      </c>
    </row>
    <row r="420" spans="1:9" ht="60.75" thickBot="1" x14ac:dyDescent="0.3">
      <c r="A420" s="2" t="s">
        <v>11</v>
      </c>
      <c r="B420" s="6">
        <f>G420*76%</f>
        <v>40462.400000000001</v>
      </c>
      <c r="C420" s="12"/>
      <c r="D420" s="26">
        <f>G420-B420</f>
        <v>12777.599999999999</v>
      </c>
      <c r="E420" s="8" t="s">
        <v>8</v>
      </c>
      <c r="F420" s="8" t="s">
        <v>8</v>
      </c>
      <c r="G420" s="90">
        <f>53958-525-42-151</f>
        <v>53240</v>
      </c>
      <c r="H420" s="91"/>
      <c r="I420">
        <v>178128</v>
      </c>
    </row>
    <row r="421" spans="1:9" ht="30.75" thickBot="1" x14ac:dyDescent="0.3">
      <c r="A421" s="2" t="s">
        <v>12</v>
      </c>
      <c r="B421" s="6">
        <f>G421*76%</f>
        <v>4256.76</v>
      </c>
      <c r="C421" s="12"/>
      <c r="D421" s="26">
        <f>G421-B421</f>
        <v>1344.2399999999998</v>
      </c>
      <c r="E421" s="8" t="s">
        <v>8</v>
      </c>
      <c r="F421" s="8" t="s">
        <v>8</v>
      </c>
      <c r="G421" s="90">
        <f>1725+3309+525+42</f>
        <v>5601</v>
      </c>
      <c r="H421" s="91"/>
      <c r="I421" s="10">
        <f>G417+G420+G421</f>
        <v>237275</v>
      </c>
    </row>
    <row r="422" spans="1:9" ht="15.75" thickBot="1" x14ac:dyDescent="0.3">
      <c r="A422" s="2" t="s">
        <v>13</v>
      </c>
      <c r="B422" s="6">
        <f>G422*56%</f>
        <v>0</v>
      </c>
      <c r="C422" s="6"/>
      <c r="D422" s="26">
        <f>G422-B422</f>
        <v>0</v>
      </c>
      <c r="E422" s="8" t="s">
        <v>8</v>
      </c>
      <c r="F422" s="8" t="s">
        <v>8</v>
      </c>
      <c r="G422" s="90">
        <v>0</v>
      </c>
      <c r="H422" s="91"/>
      <c r="I422" s="10">
        <f>I420-I421</f>
        <v>-59147</v>
      </c>
    </row>
    <row r="423" spans="1:9" ht="30.75" thickBot="1" x14ac:dyDescent="0.3">
      <c r="A423" s="2" t="s">
        <v>14</v>
      </c>
      <c r="B423" s="6">
        <f>G423*56%</f>
        <v>11225.76</v>
      </c>
      <c r="C423" s="6"/>
      <c r="D423" s="26">
        <f>G423-B423</f>
        <v>8820.24</v>
      </c>
      <c r="E423" s="8" t="s">
        <v>8</v>
      </c>
      <c r="F423" s="8" t="s">
        <v>8</v>
      </c>
      <c r="G423" s="90">
        <v>20046</v>
      </c>
      <c r="H423" s="91"/>
    </row>
    <row r="424" spans="1:9" ht="45.75" thickBot="1" x14ac:dyDescent="0.3">
      <c r="A424" s="2" t="s">
        <v>15</v>
      </c>
      <c r="B424" s="8" t="s">
        <v>8</v>
      </c>
      <c r="C424" s="8" t="s">
        <v>8</v>
      </c>
      <c r="D424" s="6"/>
      <c r="E424" s="8" t="s">
        <v>8</v>
      </c>
      <c r="F424" s="8" t="s">
        <v>8</v>
      </c>
      <c r="G424" s="90"/>
      <c r="H424" s="91"/>
    </row>
    <row r="425" spans="1:9" ht="15.75" thickBot="1" x14ac:dyDescent="0.3">
      <c r="A425" s="2" t="s">
        <v>16</v>
      </c>
      <c r="B425" s="8" t="s">
        <v>8</v>
      </c>
      <c r="C425" s="8" t="s">
        <v>8</v>
      </c>
      <c r="D425" s="12"/>
      <c r="E425" s="6">
        <v>18000</v>
      </c>
      <c r="F425" s="6"/>
      <c r="G425" s="90">
        <v>18000</v>
      </c>
      <c r="H425" s="91"/>
    </row>
    <row r="426" spans="1:9" ht="15.75" thickBot="1" x14ac:dyDescent="0.3">
      <c r="A426" s="3" t="s">
        <v>17</v>
      </c>
      <c r="B426" s="6">
        <f>G426*56%</f>
        <v>2651.6000000000004</v>
      </c>
      <c r="C426" s="8"/>
      <c r="D426" s="6"/>
      <c r="E426" s="6">
        <f>G426-B426</f>
        <v>2083.3999999999996</v>
      </c>
      <c r="F426" s="6"/>
      <c r="G426" s="90">
        <v>4735</v>
      </c>
      <c r="H426" s="91"/>
    </row>
    <row r="427" spans="1:9" ht="15.75" thickBot="1" x14ac:dyDescent="0.3">
      <c r="A427" s="3" t="s">
        <v>18</v>
      </c>
      <c r="B427" s="6"/>
      <c r="C427" s="8"/>
      <c r="D427" s="8"/>
      <c r="E427" s="6"/>
      <c r="F427" s="6"/>
      <c r="G427" s="90"/>
      <c r="H427" s="91"/>
    </row>
    <row r="428" spans="1:9" ht="45.75" thickBot="1" x14ac:dyDescent="0.3">
      <c r="A428" s="2" t="s">
        <v>19</v>
      </c>
      <c r="B428" s="6"/>
      <c r="C428" s="8"/>
      <c r="D428" s="6"/>
      <c r="E428" s="6"/>
      <c r="F428" s="6"/>
      <c r="G428" s="94"/>
      <c r="H428" s="95"/>
    </row>
    <row r="429" spans="1:9" ht="30.75" thickBot="1" x14ac:dyDescent="0.3">
      <c r="A429" s="2" t="s">
        <v>20</v>
      </c>
      <c r="B429" s="6">
        <f>G429*56%</f>
        <v>129.92000000000002</v>
      </c>
      <c r="C429" s="8"/>
      <c r="D429" s="6"/>
      <c r="E429" s="6">
        <f>G429-B429</f>
        <v>102.07999999999998</v>
      </c>
      <c r="F429" s="6"/>
      <c r="G429" s="90">
        <v>232</v>
      </c>
      <c r="H429" s="91"/>
    </row>
    <row r="430" spans="1:9" ht="30.75" thickBot="1" x14ac:dyDescent="0.3">
      <c r="A430" s="2" t="s">
        <v>21</v>
      </c>
      <c r="B430" s="6">
        <f>G430*56%</f>
        <v>7396.4800000000005</v>
      </c>
      <c r="C430" s="6"/>
      <c r="D430" s="26">
        <f>G430-B430</f>
        <v>5811.5199999999995</v>
      </c>
      <c r="E430" s="8" t="s">
        <v>8</v>
      </c>
      <c r="F430" s="8" t="s">
        <v>8</v>
      </c>
      <c r="G430" s="90">
        <f>570+11868+613+157</f>
        <v>13208</v>
      </c>
      <c r="H430" s="91"/>
    </row>
    <row r="431" spans="1:9" ht="15.75" thickBot="1" x14ac:dyDescent="0.3">
      <c r="A431" s="3" t="s">
        <v>22</v>
      </c>
      <c r="B431" s="6">
        <f>G431*56%</f>
        <v>300.72000000000003</v>
      </c>
      <c r="C431" s="6"/>
      <c r="D431" s="26">
        <f>G431-B431</f>
        <v>236.27999999999997</v>
      </c>
      <c r="E431" s="8" t="s">
        <v>8</v>
      </c>
      <c r="F431" s="8" t="s">
        <v>8</v>
      </c>
      <c r="G431" s="90">
        <f>519+18</f>
        <v>537</v>
      </c>
      <c r="H431" s="91"/>
    </row>
    <row r="432" spans="1:9" ht="15.75" thickBot="1" x14ac:dyDescent="0.3">
      <c r="A432" s="3" t="s">
        <v>23</v>
      </c>
      <c r="B432" s="8" t="s">
        <v>8</v>
      </c>
      <c r="C432" s="12"/>
      <c r="D432" s="8" t="s">
        <v>8</v>
      </c>
      <c r="E432" s="8" t="s">
        <v>8</v>
      </c>
      <c r="F432" s="8" t="s">
        <v>8</v>
      </c>
      <c r="G432" s="94"/>
      <c r="H432" s="95"/>
    </row>
    <row r="433" spans="1:8" ht="15.75" thickBot="1" x14ac:dyDescent="0.3">
      <c r="A433" s="3" t="s">
        <v>24</v>
      </c>
      <c r="B433" s="6">
        <f>G433*56%</f>
        <v>0</v>
      </c>
      <c r="C433" s="6"/>
      <c r="D433" s="6"/>
      <c r="E433" s="8" t="s">
        <v>8</v>
      </c>
      <c r="F433" s="8" t="s">
        <v>8</v>
      </c>
      <c r="G433" s="90"/>
      <c r="H433" s="91"/>
    </row>
    <row r="434" spans="1:8" ht="15.75" thickBot="1" x14ac:dyDescent="0.3">
      <c r="A434" s="4" t="s">
        <v>25</v>
      </c>
      <c r="B434" s="6">
        <f>SUM(B418:B433)</f>
        <v>202033.48000000004</v>
      </c>
      <c r="C434" s="6"/>
      <c r="D434" s="6">
        <f>SUM(D418:D433)</f>
        <v>71814.040000000008</v>
      </c>
      <c r="E434" s="6">
        <f>SUM(E418:E433)</f>
        <v>20185.480000000003</v>
      </c>
      <c r="F434" s="6"/>
      <c r="G434" s="90">
        <f>SUM(G418:H433)</f>
        <v>294033</v>
      </c>
      <c r="H434" s="91"/>
    </row>
    <row r="435" spans="1:8" x14ac:dyDescent="0.25">
      <c r="A435" s="92" t="s">
        <v>26</v>
      </c>
      <c r="B435" s="92"/>
      <c r="C435" s="92"/>
      <c r="D435" s="92"/>
      <c r="E435" s="92"/>
      <c r="F435" s="92"/>
      <c r="G435" s="92"/>
      <c r="H435" s="92"/>
    </row>
    <row r="436" spans="1:8" x14ac:dyDescent="0.25">
      <c r="A436" s="93" t="s">
        <v>27</v>
      </c>
      <c r="B436" s="93"/>
      <c r="C436" s="93"/>
      <c r="D436" s="93"/>
      <c r="E436" s="93"/>
      <c r="F436" s="93"/>
      <c r="G436" s="93"/>
      <c r="H436" s="93"/>
    </row>
    <row r="437" spans="1:8" x14ac:dyDescent="0.25">
      <c r="A437" s="93" t="s">
        <v>28</v>
      </c>
      <c r="B437" s="93"/>
      <c r="C437" s="93"/>
      <c r="D437" s="93"/>
      <c r="E437" s="93"/>
      <c r="F437" s="93"/>
      <c r="G437" s="93"/>
      <c r="H437" s="93"/>
    </row>
    <row r="438" spans="1:8" x14ac:dyDescent="0.25">
      <c r="A438" s="1"/>
      <c r="B438" s="9"/>
      <c r="C438" s="9"/>
      <c r="D438" s="9"/>
      <c r="E438" s="9"/>
      <c r="F438" s="9"/>
      <c r="G438" s="9"/>
      <c r="H438" s="9"/>
    </row>
    <row r="439" spans="1:8" ht="15.75" x14ac:dyDescent="0.25">
      <c r="A439" s="5"/>
    </row>
    <row r="440" spans="1:8" x14ac:dyDescent="0.25">
      <c r="B440" s="13" t="s">
        <v>50</v>
      </c>
      <c r="C440" s="13">
        <v>234022</v>
      </c>
    </row>
    <row r="441" spans="1:8" x14ac:dyDescent="0.25">
      <c r="C441" s="10">
        <f>C440-B434</f>
        <v>31988.51999999996</v>
      </c>
    </row>
  </sheetData>
  <mergeCells count="444">
    <mergeCell ref="G434:H434"/>
    <mergeCell ref="A435:H435"/>
    <mergeCell ref="A436:H436"/>
    <mergeCell ref="A437:H437"/>
    <mergeCell ref="G428:H428"/>
    <mergeCell ref="G429:H429"/>
    <mergeCell ref="G430:H430"/>
    <mergeCell ref="G431:H431"/>
    <mergeCell ref="G432:H432"/>
    <mergeCell ref="G433:H433"/>
    <mergeCell ref="G423:H423"/>
    <mergeCell ref="G424:H424"/>
    <mergeCell ref="G425:H425"/>
    <mergeCell ref="G426:H426"/>
    <mergeCell ref="G427:H427"/>
    <mergeCell ref="G416:H416"/>
    <mergeCell ref="G417:H417"/>
    <mergeCell ref="G418:H418"/>
    <mergeCell ref="G419:H419"/>
    <mergeCell ref="G420:H420"/>
    <mergeCell ref="G421:H421"/>
    <mergeCell ref="A412:H412"/>
    <mergeCell ref="A413:A415"/>
    <mergeCell ref="B413:F413"/>
    <mergeCell ref="G413:H413"/>
    <mergeCell ref="B414:C414"/>
    <mergeCell ref="E414:F414"/>
    <mergeCell ref="G414:H414"/>
    <mergeCell ref="G415:H415"/>
    <mergeCell ref="G422:H422"/>
    <mergeCell ref="G395:H395"/>
    <mergeCell ref="A396:H396"/>
    <mergeCell ref="A397:H397"/>
    <mergeCell ref="A398:H398"/>
    <mergeCell ref="E409:H409"/>
    <mergeCell ref="A410:A411"/>
    <mergeCell ref="B410:B411"/>
    <mergeCell ref="C410:C411"/>
    <mergeCell ref="D410:D411"/>
    <mergeCell ref="E410:H410"/>
    <mergeCell ref="E411:H411"/>
    <mergeCell ref="G389:H389"/>
    <mergeCell ref="G390:H390"/>
    <mergeCell ref="G391:H391"/>
    <mergeCell ref="G392:H392"/>
    <mergeCell ref="G393:H393"/>
    <mergeCell ref="G394:H394"/>
    <mergeCell ref="G383:H383"/>
    <mergeCell ref="G384:H384"/>
    <mergeCell ref="G385:H385"/>
    <mergeCell ref="G386:H386"/>
    <mergeCell ref="G387:H387"/>
    <mergeCell ref="G388:H388"/>
    <mergeCell ref="G377:H377"/>
    <mergeCell ref="G378:H378"/>
    <mergeCell ref="G379:H379"/>
    <mergeCell ref="G380:H380"/>
    <mergeCell ref="G381:H381"/>
    <mergeCell ref="G382:H382"/>
    <mergeCell ref="E372:H372"/>
    <mergeCell ref="A373:H373"/>
    <mergeCell ref="A374:A376"/>
    <mergeCell ref="B374:F374"/>
    <mergeCell ref="G374:H374"/>
    <mergeCell ref="B375:C375"/>
    <mergeCell ref="E375:F375"/>
    <mergeCell ref="G375:H375"/>
    <mergeCell ref="G376:H376"/>
    <mergeCell ref="G359:H359"/>
    <mergeCell ref="A360:H360"/>
    <mergeCell ref="A361:H361"/>
    <mergeCell ref="A362:H362"/>
    <mergeCell ref="E370:H370"/>
    <mergeCell ref="A371:A372"/>
    <mergeCell ref="B371:B372"/>
    <mergeCell ref="C371:C372"/>
    <mergeCell ref="D371:D372"/>
    <mergeCell ref="E371:H371"/>
    <mergeCell ref="G353:H353"/>
    <mergeCell ref="G354:H354"/>
    <mergeCell ref="G355:H355"/>
    <mergeCell ref="G356:H356"/>
    <mergeCell ref="G357:H357"/>
    <mergeCell ref="G358:H358"/>
    <mergeCell ref="G347:H347"/>
    <mergeCell ref="G348:H348"/>
    <mergeCell ref="G349:H349"/>
    <mergeCell ref="G350:H350"/>
    <mergeCell ref="G351:H351"/>
    <mergeCell ref="G352:H352"/>
    <mergeCell ref="G341:H341"/>
    <mergeCell ref="G342:H342"/>
    <mergeCell ref="G343:H343"/>
    <mergeCell ref="G344:H344"/>
    <mergeCell ref="G345:H345"/>
    <mergeCell ref="G346:H346"/>
    <mergeCell ref="E336:H336"/>
    <mergeCell ref="A337:H337"/>
    <mergeCell ref="A338:A340"/>
    <mergeCell ref="B338:F338"/>
    <mergeCell ref="G338:H338"/>
    <mergeCell ref="B339:C339"/>
    <mergeCell ref="E339:F339"/>
    <mergeCell ref="G339:H339"/>
    <mergeCell ref="G340:H340"/>
    <mergeCell ref="G325:H325"/>
    <mergeCell ref="A326:H326"/>
    <mergeCell ref="A327:H327"/>
    <mergeCell ref="A328:H328"/>
    <mergeCell ref="E334:H334"/>
    <mergeCell ref="A335:A336"/>
    <mergeCell ref="B335:B336"/>
    <mergeCell ref="C335:C336"/>
    <mergeCell ref="D335:D336"/>
    <mergeCell ref="E335:H335"/>
    <mergeCell ref="G319:H319"/>
    <mergeCell ref="G320:H320"/>
    <mergeCell ref="G321:H321"/>
    <mergeCell ref="G322:H322"/>
    <mergeCell ref="G323:H323"/>
    <mergeCell ref="G324:H324"/>
    <mergeCell ref="G313:H313"/>
    <mergeCell ref="G314:H314"/>
    <mergeCell ref="G315:H315"/>
    <mergeCell ref="G316:H316"/>
    <mergeCell ref="G317:H317"/>
    <mergeCell ref="G318:H318"/>
    <mergeCell ref="G307:H307"/>
    <mergeCell ref="G308:H308"/>
    <mergeCell ref="G309:H309"/>
    <mergeCell ref="G310:H310"/>
    <mergeCell ref="G311:H311"/>
    <mergeCell ref="G312:H312"/>
    <mergeCell ref="E302:H302"/>
    <mergeCell ref="A303:H303"/>
    <mergeCell ref="A304:A306"/>
    <mergeCell ref="B304:F304"/>
    <mergeCell ref="G304:H304"/>
    <mergeCell ref="B305:C305"/>
    <mergeCell ref="E305:F305"/>
    <mergeCell ref="G305:H305"/>
    <mergeCell ref="G306:H306"/>
    <mergeCell ref="G289:H289"/>
    <mergeCell ref="A290:H290"/>
    <mergeCell ref="A291:H291"/>
    <mergeCell ref="A292:H292"/>
    <mergeCell ref="E300:H300"/>
    <mergeCell ref="A301:A302"/>
    <mergeCell ref="B301:B302"/>
    <mergeCell ref="C301:C302"/>
    <mergeCell ref="D301:D302"/>
    <mergeCell ref="E301:H301"/>
    <mergeCell ref="G283:H283"/>
    <mergeCell ref="G284:H284"/>
    <mergeCell ref="G285:H285"/>
    <mergeCell ref="G286:H286"/>
    <mergeCell ref="G287:H287"/>
    <mergeCell ref="G288:H288"/>
    <mergeCell ref="G277:H277"/>
    <mergeCell ref="G278:H278"/>
    <mergeCell ref="G279:H279"/>
    <mergeCell ref="G280:H280"/>
    <mergeCell ref="G281:H281"/>
    <mergeCell ref="G282:H282"/>
    <mergeCell ref="G271:H271"/>
    <mergeCell ref="G272:H272"/>
    <mergeCell ref="G273:H273"/>
    <mergeCell ref="G274:H274"/>
    <mergeCell ref="G275:H275"/>
    <mergeCell ref="G276:H276"/>
    <mergeCell ref="E266:H266"/>
    <mergeCell ref="A267:H267"/>
    <mergeCell ref="A268:A270"/>
    <mergeCell ref="B268:F268"/>
    <mergeCell ref="G268:H268"/>
    <mergeCell ref="B269:C269"/>
    <mergeCell ref="E269:F269"/>
    <mergeCell ref="G269:H269"/>
    <mergeCell ref="G270:H270"/>
    <mergeCell ref="G254:H254"/>
    <mergeCell ref="A255:H255"/>
    <mergeCell ref="A256:H256"/>
    <mergeCell ref="A257:H257"/>
    <mergeCell ref="E264:H264"/>
    <mergeCell ref="A265:A266"/>
    <mergeCell ref="B265:B266"/>
    <mergeCell ref="C265:C266"/>
    <mergeCell ref="D265:D266"/>
    <mergeCell ref="E265:H265"/>
    <mergeCell ref="G248:H248"/>
    <mergeCell ref="G249:H249"/>
    <mergeCell ref="G250:H250"/>
    <mergeCell ref="G251:H251"/>
    <mergeCell ref="G252:H252"/>
    <mergeCell ref="G253:H253"/>
    <mergeCell ref="G242:H242"/>
    <mergeCell ref="G243:H243"/>
    <mergeCell ref="G244:H244"/>
    <mergeCell ref="G245:H245"/>
    <mergeCell ref="G246:H246"/>
    <mergeCell ref="G247:H247"/>
    <mergeCell ref="G236:H236"/>
    <mergeCell ref="G237:H237"/>
    <mergeCell ref="G238:H238"/>
    <mergeCell ref="G239:H239"/>
    <mergeCell ref="G240:H240"/>
    <mergeCell ref="G241:H241"/>
    <mergeCell ref="E231:H231"/>
    <mergeCell ref="A232:H232"/>
    <mergeCell ref="A233:A235"/>
    <mergeCell ref="B233:F233"/>
    <mergeCell ref="G233:H233"/>
    <mergeCell ref="B234:C234"/>
    <mergeCell ref="E234:F234"/>
    <mergeCell ref="G234:H234"/>
    <mergeCell ref="G235:H235"/>
    <mergeCell ref="G220:H220"/>
    <mergeCell ref="A221:H221"/>
    <mergeCell ref="A222:H222"/>
    <mergeCell ref="A223:H223"/>
    <mergeCell ref="E229:H229"/>
    <mergeCell ref="A230:A231"/>
    <mergeCell ref="B230:B231"/>
    <mergeCell ref="C230:C231"/>
    <mergeCell ref="D230:D231"/>
    <mergeCell ref="E230:H230"/>
    <mergeCell ref="G214:H214"/>
    <mergeCell ref="G215:H215"/>
    <mergeCell ref="G216:H216"/>
    <mergeCell ref="G217:H217"/>
    <mergeCell ref="G218:H218"/>
    <mergeCell ref="G219:H219"/>
    <mergeCell ref="G208:H208"/>
    <mergeCell ref="G209:H209"/>
    <mergeCell ref="G210:H210"/>
    <mergeCell ref="G211:H211"/>
    <mergeCell ref="G212:H212"/>
    <mergeCell ref="G213:H213"/>
    <mergeCell ref="G202:H202"/>
    <mergeCell ref="G203:H203"/>
    <mergeCell ref="G204:H204"/>
    <mergeCell ref="G205:H205"/>
    <mergeCell ref="G206:H206"/>
    <mergeCell ref="G207:H207"/>
    <mergeCell ref="E197:H197"/>
    <mergeCell ref="A198:H198"/>
    <mergeCell ref="A199:A201"/>
    <mergeCell ref="B199:F199"/>
    <mergeCell ref="G199:H199"/>
    <mergeCell ref="B200:C200"/>
    <mergeCell ref="E200:F200"/>
    <mergeCell ref="G200:H200"/>
    <mergeCell ref="G201:H201"/>
    <mergeCell ref="G180:H180"/>
    <mergeCell ref="A181:H181"/>
    <mergeCell ref="A182:H182"/>
    <mergeCell ref="A183:H183"/>
    <mergeCell ref="E195:H195"/>
    <mergeCell ref="A196:A197"/>
    <mergeCell ref="B196:B197"/>
    <mergeCell ref="C196:C197"/>
    <mergeCell ref="D196:D197"/>
    <mergeCell ref="E196:H196"/>
    <mergeCell ref="G174:H174"/>
    <mergeCell ref="G175:H175"/>
    <mergeCell ref="G176:H176"/>
    <mergeCell ref="G177:H177"/>
    <mergeCell ref="G178:H178"/>
    <mergeCell ref="G179:H179"/>
    <mergeCell ref="G168:H168"/>
    <mergeCell ref="G169:H169"/>
    <mergeCell ref="G170:H170"/>
    <mergeCell ref="G171:H171"/>
    <mergeCell ref="G172:H172"/>
    <mergeCell ref="G173:H173"/>
    <mergeCell ref="G162:H162"/>
    <mergeCell ref="G163:H163"/>
    <mergeCell ref="G164:H164"/>
    <mergeCell ref="G165:H165"/>
    <mergeCell ref="G166:H166"/>
    <mergeCell ref="G167:H167"/>
    <mergeCell ref="E157:H157"/>
    <mergeCell ref="A158:H158"/>
    <mergeCell ref="A159:A161"/>
    <mergeCell ref="B159:F159"/>
    <mergeCell ref="G159:H159"/>
    <mergeCell ref="B160:C160"/>
    <mergeCell ref="E160:F160"/>
    <mergeCell ref="G160:H160"/>
    <mergeCell ref="G161:H161"/>
    <mergeCell ref="G141:H141"/>
    <mergeCell ref="A142:H142"/>
    <mergeCell ref="A143:H143"/>
    <mergeCell ref="A144:H144"/>
    <mergeCell ref="E155:H155"/>
    <mergeCell ref="A156:A157"/>
    <mergeCell ref="B156:B157"/>
    <mergeCell ref="C156:C157"/>
    <mergeCell ref="D156:D157"/>
    <mergeCell ref="E156:H156"/>
    <mergeCell ref="G135:H135"/>
    <mergeCell ref="G136:H136"/>
    <mergeCell ref="G137:H137"/>
    <mergeCell ref="G138:H138"/>
    <mergeCell ref="G139:H139"/>
    <mergeCell ref="G140:H140"/>
    <mergeCell ref="G129:H129"/>
    <mergeCell ref="G130:H130"/>
    <mergeCell ref="G131:H131"/>
    <mergeCell ref="G132:H132"/>
    <mergeCell ref="G133:H133"/>
    <mergeCell ref="G134:H134"/>
    <mergeCell ref="G123:H123"/>
    <mergeCell ref="G124:H124"/>
    <mergeCell ref="G125:H125"/>
    <mergeCell ref="G126:H126"/>
    <mergeCell ref="G127:H127"/>
    <mergeCell ref="G128:H128"/>
    <mergeCell ref="E118:H118"/>
    <mergeCell ref="A119:H119"/>
    <mergeCell ref="A120:A122"/>
    <mergeCell ref="B120:F120"/>
    <mergeCell ref="G120:H120"/>
    <mergeCell ref="B121:C121"/>
    <mergeCell ref="E121:F121"/>
    <mergeCell ref="G121:H121"/>
    <mergeCell ref="G122:H122"/>
    <mergeCell ref="G102:H102"/>
    <mergeCell ref="A103:H103"/>
    <mergeCell ref="A104:H104"/>
    <mergeCell ref="A105:H105"/>
    <mergeCell ref="E116:H116"/>
    <mergeCell ref="A117:A118"/>
    <mergeCell ref="B117:B118"/>
    <mergeCell ref="C117:C118"/>
    <mergeCell ref="D117:D118"/>
    <mergeCell ref="E117:H117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E79:H79"/>
    <mergeCell ref="A80:H80"/>
    <mergeCell ref="A81:A83"/>
    <mergeCell ref="B81:F81"/>
    <mergeCell ref="G81:H81"/>
    <mergeCell ref="B82:C82"/>
    <mergeCell ref="E82:F82"/>
    <mergeCell ref="G82:H82"/>
    <mergeCell ref="G83:H83"/>
    <mergeCell ref="G66:H66"/>
    <mergeCell ref="A67:H67"/>
    <mergeCell ref="A68:H68"/>
    <mergeCell ref="A69:H69"/>
    <mergeCell ref="E77:H77"/>
    <mergeCell ref="A78:A79"/>
    <mergeCell ref="B78:B79"/>
    <mergeCell ref="C78:C79"/>
    <mergeCell ref="D78:D79"/>
    <mergeCell ref="E78:H78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E43:H43"/>
    <mergeCell ref="A44:H44"/>
    <mergeCell ref="A45:A47"/>
    <mergeCell ref="B45:F45"/>
    <mergeCell ref="G45:H45"/>
    <mergeCell ref="B46:C46"/>
    <mergeCell ref="E46:F46"/>
    <mergeCell ref="G46:H46"/>
    <mergeCell ref="G47:H47"/>
    <mergeCell ref="G28:H28"/>
    <mergeCell ref="A29:H29"/>
    <mergeCell ref="A30:H30"/>
    <mergeCell ref="A31:H31"/>
    <mergeCell ref="E41:H41"/>
    <mergeCell ref="A42:A43"/>
    <mergeCell ref="B42:B43"/>
    <mergeCell ref="C42:C43"/>
    <mergeCell ref="D42:D43"/>
    <mergeCell ref="E42:H42"/>
    <mergeCell ref="G22:H22"/>
    <mergeCell ref="G23:H23"/>
    <mergeCell ref="G24:H24"/>
    <mergeCell ref="G25:H25"/>
    <mergeCell ref="G26:H26"/>
    <mergeCell ref="G27:H27"/>
    <mergeCell ref="G16:H16"/>
    <mergeCell ref="G17:H17"/>
    <mergeCell ref="G18:H18"/>
    <mergeCell ref="G19:H19"/>
    <mergeCell ref="G20:H20"/>
    <mergeCell ref="G21:H21"/>
    <mergeCell ref="G12:H12"/>
    <mergeCell ref="G13:H13"/>
    <mergeCell ref="G14:H14"/>
    <mergeCell ref="G15:H15"/>
    <mergeCell ref="A6:H6"/>
    <mergeCell ref="A7:A9"/>
    <mergeCell ref="B7:F7"/>
    <mergeCell ref="G7:H7"/>
    <mergeCell ref="B8:C8"/>
    <mergeCell ref="E8:F8"/>
    <mergeCell ref="G8:H8"/>
    <mergeCell ref="G9:H9"/>
    <mergeCell ref="E3:H3"/>
    <mergeCell ref="A4:A5"/>
    <mergeCell ref="B4:B5"/>
    <mergeCell ref="C4:C5"/>
    <mergeCell ref="D4:D5"/>
    <mergeCell ref="E4:H4"/>
    <mergeCell ref="E5:H5"/>
    <mergeCell ref="G10:H10"/>
    <mergeCell ref="G11:H11"/>
  </mergeCells>
  <pageMargins left="0.11811023622047245" right="0.31496062992125984" top="0.15748031496062992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4"/>
  <sheetViews>
    <sheetView topLeftCell="A421" zoomScale="77" zoomScaleNormal="77" workbookViewId="0">
      <selection activeCell="D423" sqref="D423"/>
    </sheetView>
  </sheetViews>
  <sheetFormatPr defaultRowHeight="15" x14ac:dyDescent="0.25"/>
  <cols>
    <col min="1" max="1" width="33.85546875" customWidth="1"/>
    <col min="2" max="2" width="26.7109375" style="10" customWidth="1"/>
    <col min="3" max="3" width="15.28515625" style="10" customWidth="1"/>
    <col min="4" max="4" width="19.42578125" style="10" customWidth="1"/>
    <col min="5" max="5" width="17.28515625" style="10" customWidth="1"/>
    <col min="6" max="6" width="10.42578125" style="10" customWidth="1"/>
    <col min="7" max="7" width="12.7109375" style="10" customWidth="1"/>
    <col min="8" max="8" width="7.5703125" style="10" customWidth="1"/>
  </cols>
  <sheetData>
    <row r="1" spans="1:9" x14ac:dyDescent="0.25">
      <c r="C1"/>
      <c r="D1"/>
      <c r="E1"/>
      <c r="F1"/>
      <c r="G1"/>
      <c r="H1"/>
    </row>
    <row r="3" spans="1:9" x14ac:dyDescent="0.25">
      <c r="A3" s="22"/>
      <c r="B3" s="23"/>
      <c r="C3" s="23"/>
      <c r="D3" s="23"/>
      <c r="E3" s="112" t="s">
        <v>29</v>
      </c>
      <c r="F3" s="112"/>
      <c r="G3" s="112"/>
      <c r="H3" s="112"/>
    </row>
    <row r="4" spans="1:9" x14ac:dyDescent="0.25">
      <c r="A4" s="113"/>
      <c r="B4" s="114"/>
      <c r="C4" s="114"/>
      <c r="D4" s="115"/>
      <c r="E4" s="115" t="s">
        <v>0</v>
      </c>
      <c r="F4" s="115"/>
      <c r="G4" s="115"/>
      <c r="H4" s="115"/>
    </row>
    <row r="5" spans="1:9" x14ac:dyDescent="0.25">
      <c r="A5" s="113"/>
      <c r="B5" s="114"/>
      <c r="C5" s="114"/>
      <c r="D5" s="115"/>
      <c r="E5" s="115" t="s">
        <v>1</v>
      </c>
      <c r="F5" s="115"/>
      <c r="G5" s="115"/>
      <c r="H5" s="115"/>
    </row>
    <row r="6" spans="1:9" ht="15.75" thickBot="1" x14ac:dyDescent="0.3">
      <c r="A6" s="98" t="s">
        <v>83</v>
      </c>
      <c r="B6" s="98"/>
      <c r="C6" s="98"/>
      <c r="D6" s="98"/>
      <c r="E6" s="98"/>
      <c r="F6" s="98"/>
      <c r="G6" s="99"/>
      <c r="H6" s="99"/>
    </row>
    <row r="7" spans="1:9" ht="15.75" thickBot="1" x14ac:dyDescent="0.3">
      <c r="A7" s="100" t="s">
        <v>2</v>
      </c>
      <c r="B7" s="103" t="s">
        <v>30</v>
      </c>
      <c r="C7" s="104"/>
      <c r="D7" s="104"/>
      <c r="E7" s="104"/>
      <c r="F7" s="104"/>
      <c r="G7" s="105" t="s">
        <v>3</v>
      </c>
      <c r="H7" s="106"/>
    </row>
    <row r="8" spans="1:9" ht="105.75" thickBot="1" x14ac:dyDescent="0.3">
      <c r="A8" s="101"/>
      <c r="B8" s="96" t="s">
        <v>30</v>
      </c>
      <c r="C8" s="107"/>
      <c r="D8" s="25" t="s">
        <v>32</v>
      </c>
      <c r="E8" s="107" t="s">
        <v>4</v>
      </c>
      <c r="F8" s="97"/>
      <c r="G8" s="108"/>
      <c r="H8" s="109"/>
    </row>
    <row r="9" spans="1:9" ht="150.75" thickBot="1" x14ac:dyDescent="0.3">
      <c r="A9" s="102"/>
      <c r="B9" s="7" t="s">
        <v>36</v>
      </c>
      <c r="C9" s="7" t="s">
        <v>5</v>
      </c>
      <c r="D9" s="7" t="s">
        <v>33</v>
      </c>
      <c r="E9" s="7" t="s">
        <v>34</v>
      </c>
      <c r="F9" s="7" t="s">
        <v>35</v>
      </c>
      <c r="G9" s="110"/>
      <c r="H9" s="111"/>
    </row>
    <row r="10" spans="1:9" ht="15.75" thickBot="1" x14ac:dyDescent="0.3">
      <c r="A10" s="24">
        <v>1</v>
      </c>
      <c r="B10" s="7">
        <v>2</v>
      </c>
      <c r="C10" s="11">
        <v>3</v>
      </c>
      <c r="D10" s="7">
        <v>4</v>
      </c>
      <c r="E10" s="11">
        <v>5</v>
      </c>
      <c r="F10" s="7">
        <v>6</v>
      </c>
      <c r="G10" s="96" t="s">
        <v>37</v>
      </c>
      <c r="H10" s="97"/>
    </row>
    <row r="11" spans="1:9" ht="60.75" thickBot="1" x14ac:dyDescent="0.3">
      <c r="A11" s="2" t="s">
        <v>7</v>
      </c>
      <c r="B11" s="6">
        <f>B12</f>
        <v>12611.44</v>
      </c>
      <c r="C11" s="12"/>
      <c r="D11" s="6">
        <f>D12</f>
        <v>3982.5599999999995</v>
      </c>
      <c r="E11" s="8" t="s">
        <v>8</v>
      </c>
      <c r="F11" s="8" t="s">
        <v>8</v>
      </c>
      <c r="G11" s="90">
        <f>16880-195-91</f>
        <v>16594</v>
      </c>
      <c r="H11" s="91"/>
    </row>
    <row r="12" spans="1:9" ht="15.75" thickBot="1" x14ac:dyDescent="0.3">
      <c r="A12" s="3" t="s">
        <v>9</v>
      </c>
      <c r="B12" s="6">
        <f>G12*76%</f>
        <v>12611.44</v>
      </c>
      <c r="C12" s="12"/>
      <c r="D12" s="26">
        <f>G12-B12</f>
        <v>3982.5599999999995</v>
      </c>
      <c r="E12" s="8" t="s">
        <v>8</v>
      </c>
      <c r="F12" s="8" t="s">
        <v>8</v>
      </c>
      <c r="G12" s="90">
        <f>G11-G13</f>
        <v>16594</v>
      </c>
      <c r="H12" s="91"/>
      <c r="I12">
        <f>G12/K19</f>
        <v>0.73866013799243269</v>
      </c>
    </row>
    <row r="13" spans="1:9" ht="15.75" thickBot="1" x14ac:dyDescent="0.3">
      <c r="A13" s="2" t="s">
        <v>10</v>
      </c>
      <c r="B13" s="6">
        <v>0</v>
      </c>
      <c r="C13" s="12"/>
      <c r="D13" s="6">
        <v>0</v>
      </c>
      <c r="E13" s="8" t="s">
        <v>8</v>
      </c>
      <c r="F13" s="8" t="s">
        <v>8</v>
      </c>
      <c r="G13" s="90"/>
      <c r="H13" s="91"/>
    </row>
    <row r="14" spans="1:9" ht="60.75" thickBot="1" x14ac:dyDescent="0.3">
      <c r="A14" s="2" t="s">
        <v>11</v>
      </c>
      <c r="B14" s="6">
        <f>G14*76%</f>
        <v>4202.04</v>
      </c>
      <c r="C14" s="12"/>
      <c r="D14" s="26">
        <f>G14-B14</f>
        <v>1326.96</v>
      </c>
      <c r="E14" s="8" t="s">
        <v>8</v>
      </c>
      <c r="F14" s="8" t="s">
        <v>8</v>
      </c>
      <c r="G14" s="90">
        <f>5585-56</f>
        <v>5529</v>
      </c>
      <c r="H14" s="91"/>
      <c r="I14">
        <f>G14/K19</f>
        <v>0.24611618072557312</v>
      </c>
    </row>
    <row r="15" spans="1:9" ht="30.75" thickBot="1" x14ac:dyDescent="0.3">
      <c r="A15" s="2" t="s">
        <v>12</v>
      </c>
      <c r="B15" s="6">
        <f>G15*76%</f>
        <v>259.92</v>
      </c>
      <c r="C15" s="12"/>
      <c r="D15" s="26">
        <f>G15-B15</f>
        <v>82.079999999999984</v>
      </c>
      <c r="E15" s="8" t="s">
        <v>8</v>
      </c>
      <c r="F15" s="8" t="s">
        <v>8</v>
      </c>
      <c r="G15" s="90">
        <f>195+91+56</f>
        <v>342</v>
      </c>
      <c r="H15" s="91"/>
      <c r="I15">
        <f>G15/K19</f>
        <v>1.5223681281994214E-2</v>
      </c>
    </row>
    <row r="16" spans="1:9" ht="30.75" thickBot="1" x14ac:dyDescent="0.3">
      <c r="A16" s="2" t="s">
        <v>13</v>
      </c>
      <c r="B16" s="6">
        <f>G16*56%</f>
        <v>0</v>
      </c>
      <c r="C16" s="6"/>
      <c r="D16" s="26">
        <f>G16-B16</f>
        <v>0</v>
      </c>
      <c r="E16" s="8" t="s">
        <v>8</v>
      </c>
      <c r="F16" s="8" t="s">
        <v>8</v>
      </c>
      <c r="G16" s="90">
        <v>0</v>
      </c>
      <c r="H16" s="91"/>
    </row>
    <row r="17" spans="1:11" ht="30.75" thickBot="1" x14ac:dyDescent="0.3">
      <c r="A17" s="2" t="s">
        <v>14</v>
      </c>
      <c r="B17" s="6">
        <f>G17*56%</f>
        <v>391.44000000000005</v>
      </c>
      <c r="C17" s="6"/>
      <c r="D17" s="26">
        <f>G17-B17</f>
        <v>307.55999999999995</v>
      </c>
      <c r="E17" s="8" t="s">
        <v>8</v>
      </c>
      <c r="F17" s="8" t="s">
        <v>8</v>
      </c>
      <c r="G17" s="90">
        <v>699</v>
      </c>
      <c r="H17" s="91"/>
    </row>
    <row r="18" spans="1:11" ht="45.75" thickBot="1" x14ac:dyDescent="0.3">
      <c r="A18" s="2" t="s">
        <v>15</v>
      </c>
      <c r="B18" s="8" t="s">
        <v>8</v>
      </c>
      <c r="C18" s="8" t="s">
        <v>8</v>
      </c>
      <c r="D18" s="6"/>
      <c r="E18" s="8" t="s">
        <v>8</v>
      </c>
      <c r="F18" s="8" t="s">
        <v>8</v>
      </c>
      <c r="G18" s="90"/>
      <c r="H18" s="91"/>
    </row>
    <row r="19" spans="1:11" ht="15.75" thickBot="1" x14ac:dyDescent="0.3">
      <c r="A19" s="2" t="s">
        <v>16</v>
      </c>
      <c r="B19" s="8" t="s">
        <v>8</v>
      </c>
      <c r="C19" s="8" t="s">
        <v>8</v>
      </c>
      <c r="D19" s="12"/>
      <c r="E19" s="6">
        <v>1500</v>
      </c>
      <c r="F19" s="6"/>
      <c r="G19" s="90">
        <v>1500</v>
      </c>
      <c r="H19" s="91"/>
      <c r="I19" s="10">
        <f>G11+G14+G15</f>
        <v>22465</v>
      </c>
      <c r="K19" s="10">
        <f>G12+G14+G15</f>
        <v>22465</v>
      </c>
    </row>
    <row r="20" spans="1:11" ht="15.75" thickBot="1" x14ac:dyDescent="0.3">
      <c r="A20" s="3" t="s">
        <v>17</v>
      </c>
      <c r="B20" s="6">
        <f>G20*56%</f>
        <v>0</v>
      </c>
      <c r="C20" s="8"/>
      <c r="D20" s="6"/>
      <c r="E20" s="6">
        <f>G20-B20</f>
        <v>0</v>
      </c>
      <c r="F20" s="6"/>
      <c r="G20" s="90">
        <v>0</v>
      </c>
      <c r="H20" s="91"/>
      <c r="I20">
        <f>12116.67+2512.3</f>
        <v>14628.970000000001</v>
      </c>
    </row>
    <row r="21" spans="1:11" ht="15.75" thickBot="1" x14ac:dyDescent="0.3">
      <c r="A21" s="3" t="s">
        <v>18</v>
      </c>
      <c r="B21" s="6"/>
      <c r="C21" s="8"/>
      <c r="D21" s="8"/>
      <c r="E21" s="6"/>
      <c r="F21" s="6"/>
      <c r="G21" s="90"/>
      <c r="H21" s="91"/>
      <c r="I21" s="10">
        <f>I20-G11-G14-G15</f>
        <v>-7836.0299999999988</v>
      </c>
    </row>
    <row r="22" spans="1:11" ht="45.75" thickBot="1" x14ac:dyDescent="0.3">
      <c r="A22" s="2" t="s">
        <v>19</v>
      </c>
      <c r="B22" s="6"/>
      <c r="C22" s="8"/>
      <c r="D22" s="6"/>
      <c r="E22" s="6"/>
      <c r="F22" s="6"/>
      <c r="G22" s="94"/>
      <c r="H22" s="95"/>
    </row>
    <row r="23" spans="1:11" ht="45.75" thickBot="1" x14ac:dyDescent="0.3">
      <c r="A23" s="2" t="s">
        <v>20</v>
      </c>
      <c r="B23" s="6">
        <f>G23*56%</f>
        <v>28.560000000000002</v>
      </c>
      <c r="C23" s="8"/>
      <c r="D23" s="6"/>
      <c r="E23" s="6">
        <f>G23-B23</f>
        <v>22.439999999999998</v>
      </c>
      <c r="F23" s="6"/>
      <c r="G23" s="90">
        <v>51</v>
      </c>
      <c r="H23" s="91"/>
    </row>
    <row r="24" spans="1:11" ht="30.75" thickBot="1" x14ac:dyDescent="0.3">
      <c r="A24" s="2" t="s">
        <v>21</v>
      </c>
      <c r="B24" s="6">
        <f>G24*56%</f>
        <v>330.40000000000003</v>
      </c>
      <c r="C24" s="6"/>
      <c r="D24" s="26">
        <f>G24-B24</f>
        <v>259.59999999999997</v>
      </c>
      <c r="E24" s="8" t="s">
        <v>8</v>
      </c>
      <c r="F24" s="8" t="s">
        <v>8</v>
      </c>
      <c r="G24" s="90">
        <v>590</v>
      </c>
      <c r="H24" s="91"/>
    </row>
    <row r="25" spans="1:11" ht="15.75" thickBot="1" x14ac:dyDescent="0.3">
      <c r="A25" s="3" t="s">
        <v>22</v>
      </c>
      <c r="B25" s="6">
        <f>G25*56%</f>
        <v>12.32</v>
      </c>
      <c r="C25" s="6"/>
      <c r="D25" s="31">
        <f>G25-B25</f>
        <v>9.68</v>
      </c>
      <c r="E25" s="8" t="s">
        <v>8</v>
      </c>
      <c r="F25" s="8" t="s">
        <v>8</v>
      </c>
      <c r="G25" s="90">
        <v>22</v>
      </c>
      <c r="H25" s="91"/>
    </row>
    <row r="26" spans="1:11" ht="15.75" thickBot="1" x14ac:dyDescent="0.3">
      <c r="A26" s="3" t="s">
        <v>23</v>
      </c>
      <c r="B26" s="8" t="s">
        <v>8</v>
      </c>
      <c r="C26" s="12"/>
      <c r="D26" s="8" t="s">
        <v>8</v>
      </c>
      <c r="E26" s="8" t="s">
        <v>8</v>
      </c>
      <c r="F26" s="8" t="s">
        <v>8</v>
      </c>
      <c r="G26" s="94"/>
      <c r="H26" s="95"/>
    </row>
    <row r="27" spans="1:11" ht="15.75" thickBot="1" x14ac:dyDescent="0.3">
      <c r="A27" s="3" t="s">
        <v>24</v>
      </c>
      <c r="B27" s="6">
        <f>G27*56%</f>
        <v>0</v>
      </c>
      <c r="C27" s="6"/>
      <c r="D27" s="6"/>
      <c r="E27" s="8" t="s">
        <v>8</v>
      </c>
      <c r="F27" s="8" t="s">
        <v>8</v>
      </c>
      <c r="G27" s="90"/>
      <c r="H27" s="91"/>
    </row>
    <row r="28" spans="1:11" ht="15.75" thickBot="1" x14ac:dyDescent="0.3">
      <c r="A28" s="4" t="s">
        <v>25</v>
      </c>
      <c r="B28" s="6">
        <f>SUM(B12:B27)</f>
        <v>17836.12</v>
      </c>
      <c r="C28" s="6"/>
      <c r="D28" s="6">
        <f>SUM(D12:D27)</f>
        <v>5968.4400000000005</v>
      </c>
      <c r="E28" s="6">
        <f>SUM(E12:E27)</f>
        <v>1522.44</v>
      </c>
      <c r="F28" s="6"/>
      <c r="G28" s="90">
        <f>SUM(G12:H27)</f>
        <v>25327</v>
      </c>
      <c r="H28" s="91"/>
    </row>
    <row r="29" spans="1:11" x14ac:dyDescent="0.25">
      <c r="A29" s="92" t="s">
        <v>26</v>
      </c>
      <c r="B29" s="92"/>
      <c r="C29" s="92"/>
      <c r="D29" s="92"/>
      <c r="E29" s="92"/>
      <c r="F29" s="92"/>
      <c r="G29" s="92"/>
      <c r="H29" s="92"/>
    </row>
    <row r="30" spans="1:11" x14ac:dyDescent="0.25">
      <c r="A30" s="93" t="s">
        <v>27</v>
      </c>
      <c r="B30" s="93"/>
      <c r="C30" s="93"/>
      <c r="D30" s="93"/>
      <c r="E30" s="93"/>
      <c r="F30" s="93"/>
      <c r="G30" s="93"/>
      <c r="H30" s="93"/>
    </row>
    <row r="31" spans="1:11" x14ac:dyDescent="0.25">
      <c r="A31" s="93" t="s">
        <v>28</v>
      </c>
      <c r="B31" s="93"/>
      <c r="C31" s="93"/>
      <c r="D31" s="93"/>
      <c r="E31" s="93"/>
      <c r="F31" s="93"/>
      <c r="G31" s="93"/>
      <c r="H31" s="93"/>
    </row>
    <row r="32" spans="1:11" x14ac:dyDescent="0.25">
      <c r="A32" s="1"/>
      <c r="B32" s="9"/>
      <c r="C32" s="9"/>
      <c r="D32" s="9"/>
      <c r="E32" s="9"/>
      <c r="F32" s="9"/>
      <c r="G32" s="9"/>
      <c r="H32" s="9"/>
    </row>
    <row r="33" spans="1:8" ht="15.75" x14ac:dyDescent="0.25">
      <c r="A33" s="5"/>
      <c r="B33" s="13" t="s">
        <v>84</v>
      </c>
      <c r="C33" s="13">
        <v>21700</v>
      </c>
    </row>
    <row r="34" spans="1:8" x14ac:dyDescent="0.25">
      <c r="B34" s="10">
        <f>C33-B28</f>
        <v>3863.880000000001</v>
      </c>
      <c r="C34"/>
      <c r="D34"/>
      <c r="E34"/>
      <c r="F34"/>
      <c r="G34"/>
      <c r="H34"/>
    </row>
    <row r="41" spans="1:8" x14ac:dyDescent="0.25">
      <c r="A41" s="22"/>
      <c r="B41" s="23"/>
      <c r="C41" s="23"/>
      <c r="D41" s="23"/>
      <c r="E41" s="112" t="s">
        <v>29</v>
      </c>
      <c r="F41" s="112"/>
      <c r="G41" s="112"/>
      <c r="H41" s="112"/>
    </row>
    <row r="42" spans="1:8" x14ac:dyDescent="0.25">
      <c r="A42" s="113"/>
      <c r="B42" s="114"/>
      <c r="C42" s="114"/>
      <c r="D42" s="115"/>
      <c r="E42" s="115" t="s">
        <v>0</v>
      </c>
      <c r="F42" s="115"/>
      <c r="G42" s="115"/>
      <c r="H42" s="115"/>
    </row>
    <row r="43" spans="1:8" x14ac:dyDescent="0.25">
      <c r="A43" s="113"/>
      <c r="B43" s="114"/>
      <c r="C43" s="114"/>
      <c r="D43" s="115"/>
      <c r="E43" s="115" t="s">
        <v>1</v>
      </c>
      <c r="F43" s="115"/>
      <c r="G43" s="115"/>
      <c r="H43" s="115"/>
    </row>
    <row r="44" spans="1:8" ht="15.75" thickBot="1" x14ac:dyDescent="0.3">
      <c r="A44" s="98" t="s">
        <v>85</v>
      </c>
      <c r="B44" s="98"/>
      <c r="C44" s="98"/>
      <c r="D44" s="98"/>
      <c r="E44" s="98"/>
      <c r="F44" s="98"/>
      <c r="G44" s="99"/>
      <c r="H44" s="99"/>
    </row>
    <row r="45" spans="1:8" ht="15.75" thickBot="1" x14ac:dyDescent="0.3">
      <c r="A45" s="100" t="s">
        <v>2</v>
      </c>
      <c r="B45" s="103" t="s">
        <v>30</v>
      </c>
      <c r="C45" s="104"/>
      <c r="D45" s="104"/>
      <c r="E45" s="104"/>
      <c r="F45" s="104"/>
      <c r="G45" s="105" t="s">
        <v>3</v>
      </c>
      <c r="H45" s="106"/>
    </row>
    <row r="46" spans="1:8" ht="105.75" thickBot="1" x14ac:dyDescent="0.3">
      <c r="A46" s="101"/>
      <c r="B46" s="96" t="s">
        <v>30</v>
      </c>
      <c r="C46" s="107"/>
      <c r="D46" s="25" t="s">
        <v>32</v>
      </c>
      <c r="E46" s="107" t="s">
        <v>4</v>
      </c>
      <c r="F46" s="97"/>
      <c r="G46" s="108"/>
      <c r="H46" s="109"/>
    </row>
    <row r="47" spans="1:8" ht="150.75" thickBot="1" x14ac:dyDescent="0.3">
      <c r="A47" s="102"/>
      <c r="B47" s="7" t="s">
        <v>36</v>
      </c>
      <c r="C47" s="7" t="s">
        <v>5</v>
      </c>
      <c r="D47" s="7" t="s">
        <v>33</v>
      </c>
      <c r="E47" s="7" t="s">
        <v>34</v>
      </c>
      <c r="F47" s="7" t="s">
        <v>35</v>
      </c>
      <c r="G47" s="110"/>
      <c r="H47" s="111"/>
    </row>
    <row r="48" spans="1:8" ht="15.75" thickBot="1" x14ac:dyDescent="0.3">
      <c r="A48" s="24">
        <v>1</v>
      </c>
      <c r="B48" s="7">
        <v>2</v>
      </c>
      <c r="C48" s="11">
        <v>3</v>
      </c>
      <c r="D48" s="7">
        <v>4</v>
      </c>
      <c r="E48" s="11">
        <v>5</v>
      </c>
      <c r="F48" s="7">
        <v>6</v>
      </c>
      <c r="G48" s="96" t="s">
        <v>37</v>
      </c>
      <c r="H48" s="97"/>
    </row>
    <row r="49" spans="1:9" ht="60.75" thickBot="1" x14ac:dyDescent="0.3">
      <c r="A49" s="2" t="s">
        <v>7</v>
      </c>
      <c r="B49" s="6">
        <f>B50</f>
        <v>25566.400000000001</v>
      </c>
      <c r="C49" s="12"/>
      <c r="D49" s="6">
        <f>D50</f>
        <v>8073.5999999999985</v>
      </c>
      <c r="E49" s="8" t="s">
        <v>8</v>
      </c>
      <c r="F49" s="8" t="s">
        <v>8</v>
      </c>
      <c r="G49" s="90">
        <f>35068-1236-192</f>
        <v>33640</v>
      </c>
      <c r="H49" s="91"/>
    </row>
    <row r="50" spans="1:9" ht="15.75" thickBot="1" x14ac:dyDescent="0.3">
      <c r="A50" s="3" t="s">
        <v>9</v>
      </c>
      <c r="B50" s="6">
        <f>G50*76%</f>
        <v>25566.400000000001</v>
      </c>
      <c r="C50" s="12"/>
      <c r="D50" s="26">
        <f>G50-B50</f>
        <v>8073.5999999999985</v>
      </c>
      <c r="E50" s="8" t="s">
        <v>8</v>
      </c>
      <c r="F50" s="8" t="s">
        <v>8</v>
      </c>
      <c r="G50" s="90">
        <f>G49-G51</f>
        <v>33640</v>
      </c>
      <c r="H50" s="91"/>
    </row>
    <row r="51" spans="1:9" ht="15.75" thickBot="1" x14ac:dyDescent="0.3">
      <c r="A51" s="2" t="s">
        <v>10</v>
      </c>
      <c r="B51" s="6">
        <v>0</v>
      </c>
      <c r="C51" s="12"/>
      <c r="D51" s="6">
        <v>0</v>
      </c>
      <c r="E51" s="8" t="s">
        <v>8</v>
      </c>
      <c r="F51" s="8" t="s">
        <v>8</v>
      </c>
      <c r="G51" s="90"/>
      <c r="H51" s="91"/>
    </row>
    <row r="52" spans="1:9" ht="60.75" thickBot="1" x14ac:dyDescent="0.3">
      <c r="A52" s="2" t="s">
        <v>11</v>
      </c>
      <c r="B52" s="6">
        <f>G52*76%</f>
        <v>8502.1200000000008</v>
      </c>
      <c r="C52" s="12"/>
      <c r="D52" s="26">
        <f>G52-B52</f>
        <v>2684.8799999999992</v>
      </c>
      <c r="E52" s="8" t="s">
        <v>8</v>
      </c>
      <c r="F52" s="8" t="s">
        <v>8</v>
      </c>
      <c r="G52" s="90">
        <f>11292-105</f>
        <v>11187</v>
      </c>
      <c r="H52" s="91"/>
    </row>
    <row r="53" spans="1:9" ht="30.75" thickBot="1" x14ac:dyDescent="0.3">
      <c r="A53" s="2" t="s">
        <v>12</v>
      </c>
      <c r="B53" s="6">
        <f>G53*76%</f>
        <v>1165.08</v>
      </c>
      <c r="C53" s="12"/>
      <c r="D53" s="26">
        <f>G53-B53</f>
        <v>367.92000000000007</v>
      </c>
      <c r="E53" s="8" t="s">
        <v>8</v>
      </c>
      <c r="F53" s="8" t="s">
        <v>8</v>
      </c>
      <c r="G53" s="90">
        <f>105+1236+192</f>
        <v>1533</v>
      </c>
      <c r="H53" s="91"/>
      <c r="I53" s="10">
        <f>G49+G52+G53</f>
        <v>46360</v>
      </c>
    </row>
    <row r="54" spans="1:9" ht="30.75" thickBot="1" x14ac:dyDescent="0.3">
      <c r="A54" s="2" t="s">
        <v>13</v>
      </c>
      <c r="B54" s="6">
        <f>G54*56%</f>
        <v>0</v>
      </c>
      <c r="C54" s="6"/>
      <c r="D54" s="26">
        <f>G54-B54</f>
        <v>0</v>
      </c>
      <c r="E54" s="8" t="s">
        <v>8</v>
      </c>
      <c r="F54" s="8" t="s">
        <v>8</v>
      </c>
      <c r="G54" s="90">
        <v>0</v>
      </c>
      <c r="H54" s="91"/>
      <c r="I54" s="10">
        <f>30208-I53</f>
        <v>-16152</v>
      </c>
    </row>
    <row r="55" spans="1:9" ht="30.75" thickBot="1" x14ac:dyDescent="0.3">
      <c r="A55" s="2" t="s">
        <v>14</v>
      </c>
      <c r="B55" s="6">
        <f>G55*56%</f>
        <v>1047.76</v>
      </c>
      <c r="C55" s="6"/>
      <c r="D55" s="26">
        <f>G55-B55</f>
        <v>823.24</v>
      </c>
      <c r="E55" s="8" t="s">
        <v>8</v>
      </c>
      <c r="F55" s="8" t="s">
        <v>8</v>
      </c>
      <c r="G55" s="90">
        <v>1871</v>
      </c>
      <c r="H55" s="91"/>
    </row>
    <row r="56" spans="1:9" ht="45.75" thickBot="1" x14ac:dyDescent="0.3">
      <c r="A56" s="2" t="s">
        <v>15</v>
      </c>
      <c r="B56" s="8" t="s">
        <v>8</v>
      </c>
      <c r="C56" s="8" t="s">
        <v>8</v>
      </c>
      <c r="D56" s="6"/>
      <c r="E56" s="8" t="s">
        <v>8</v>
      </c>
      <c r="F56" s="8" t="s">
        <v>8</v>
      </c>
      <c r="G56" s="90"/>
      <c r="H56" s="91"/>
    </row>
    <row r="57" spans="1:9" ht="15.75" thickBot="1" x14ac:dyDescent="0.3">
      <c r="A57" s="2" t="s">
        <v>16</v>
      </c>
      <c r="B57" s="8" t="s">
        <v>8</v>
      </c>
      <c r="C57" s="8" t="s">
        <v>8</v>
      </c>
      <c r="D57" s="12"/>
      <c r="E57" s="6">
        <v>3000</v>
      </c>
      <c r="F57" s="6"/>
      <c r="G57" s="90">
        <v>3000</v>
      </c>
      <c r="H57" s="91"/>
    </row>
    <row r="58" spans="1:9" ht="15.75" thickBot="1" x14ac:dyDescent="0.3">
      <c r="A58" s="3" t="s">
        <v>17</v>
      </c>
      <c r="B58" s="6">
        <f>G58*56%</f>
        <v>0</v>
      </c>
      <c r="C58" s="8"/>
      <c r="D58" s="6"/>
      <c r="E58" s="6">
        <f>G58-B58</f>
        <v>0</v>
      </c>
      <c r="F58" s="6"/>
      <c r="G58" s="90">
        <v>0</v>
      </c>
      <c r="H58" s="91"/>
    </row>
    <row r="59" spans="1:9" ht="15.75" thickBot="1" x14ac:dyDescent="0.3">
      <c r="A59" s="3" t="s">
        <v>18</v>
      </c>
      <c r="B59" s="6"/>
      <c r="C59" s="8"/>
      <c r="D59" s="8"/>
      <c r="E59" s="6"/>
      <c r="F59" s="6"/>
      <c r="G59" s="90"/>
      <c r="H59" s="91"/>
    </row>
    <row r="60" spans="1:9" ht="45.75" thickBot="1" x14ac:dyDescent="0.3">
      <c r="A60" s="2" t="s">
        <v>19</v>
      </c>
      <c r="B60" s="6"/>
      <c r="C60" s="8"/>
      <c r="D60" s="6"/>
      <c r="E60" s="6"/>
      <c r="F60" s="6"/>
      <c r="G60" s="94"/>
      <c r="H60" s="95"/>
    </row>
    <row r="61" spans="1:9" ht="45.75" thickBot="1" x14ac:dyDescent="0.3">
      <c r="A61" s="2" t="s">
        <v>20</v>
      </c>
      <c r="B61" s="6">
        <f>G61*56%</f>
        <v>57.120000000000005</v>
      </c>
      <c r="C61" s="8"/>
      <c r="D61" s="6"/>
      <c r="E61" s="6">
        <f>G61-B61</f>
        <v>44.879999999999995</v>
      </c>
      <c r="F61" s="6"/>
      <c r="G61" s="90">
        <v>102</v>
      </c>
      <c r="H61" s="91"/>
    </row>
    <row r="62" spans="1:9" ht="30.75" thickBot="1" x14ac:dyDescent="0.3">
      <c r="A62" s="2" t="s">
        <v>21</v>
      </c>
      <c r="B62" s="6">
        <f>G62*56%</f>
        <v>1058.96</v>
      </c>
      <c r="C62" s="6"/>
      <c r="D62" s="26">
        <f>G62-B62</f>
        <v>832.04</v>
      </c>
      <c r="E62" s="8" t="s">
        <v>8</v>
      </c>
      <c r="F62" s="8" t="s">
        <v>8</v>
      </c>
      <c r="G62" s="90">
        <v>1891</v>
      </c>
      <c r="H62" s="91"/>
    </row>
    <row r="63" spans="1:9" ht="15.75" thickBot="1" x14ac:dyDescent="0.3">
      <c r="A63" s="3" t="s">
        <v>22</v>
      </c>
      <c r="B63" s="6">
        <f>G63*56%</f>
        <v>25.200000000000003</v>
      </c>
      <c r="C63" s="6"/>
      <c r="D63" s="31">
        <f>G63-B63</f>
        <v>19.799999999999997</v>
      </c>
      <c r="E63" s="8" t="s">
        <v>8</v>
      </c>
      <c r="F63" s="8" t="s">
        <v>8</v>
      </c>
      <c r="G63" s="90">
        <v>45</v>
      </c>
      <c r="H63" s="91"/>
    </row>
    <row r="64" spans="1:9" ht="15.75" thickBot="1" x14ac:dyDescent="0.3">
      <c r="A64" s="3" t="s">
        <v>23</v>
      </c>
      <c r="B64" s="8" t="s">
        <v>8</v>
      </c>
      <c r="C64" s="12"/>
      <c r="D64" s="8" t="s">
        <v>8</v>
      </c>
      <c r="E64" s="8" t="s">
        <v>8</v>
      </c>
      <c r="F64" s="8" t="s">
        <v>8</v>
      </c>
      <c r="G64" s="94"/>
      <c r="H64" s="95"/>
    </row>
    <row r="65" spans="1:8" ht="15.75" thickBot="1" x14ac:dyDescent="0.3">
      <c r="A65" s="3" t="s">
        <v>24</v>
      </c>
      <c r="B65" s="6">
        <f>G65*56%</f>
        <v>0</v>
      </c>
      <c r="C65" s="6"/>
      <c r="D65" s="6"/>
      <c r="E65" s="8" t="s">
        <v>8</v>
      </c>
      <c r="F65" s="8" t="s">
        <v>8</v>
      </c>
      <c r="G65" s="90"/>
      <c r="H65" s="91"/>
    </row>
    <row r="66" spans="1:8" ht="15.75" thickBot="1" x14ac:dyDescent="0.3">
      <c r="A66" s="4" t="s">
        <v>25</v>
      </c>
      <c r="B66" s="6">
        <f>SUM(B50:B65)</f>
        <v>37422.640000000007</v>
      </c>
      <c r="C66" s="6"/>
      <c r="D66" s="6">
        <f>SUM(D50:D65)</f>
        <v>12801.479999999996</v>
      </c>
      <c r="E66" s="6">
        <f>SUM(E50:E65)</f>
        <v>3044.88</v>
      </c>
      <c r="F66" s="6"/>
      <c r="G66" s="90">
        <f>SUM(G50:H65)</f>
        <v>53269</v>
      </c>
      <c r="H66" s="91"/>
    </row>
    <row r="67" spans="1:8" x14ac:dyDescent="0.25">
      <c r="A67" s="92" t="s">
        <v>26</v>
      </c>
      <c r="B67" s="92"/>
      <c r="C67" s="92"/>
      <c r="D67" s="92"/>
      <c r="E67" s="92"/>
      <c r="F67" s="92"/>
      <c r="G67" s="92"/>
      <c r="H67" s="92"/>
    </row>
    <row r="68" spans="1:8" x14ac:dyDescent="0.25">
      <c r="A68" s="93" t="s">
        <v>27</v>
      </c>
      <c r="B68" s="93"/>
      <c r="C68" s="93"/>
      <c r="D68" s="93"/>
      <c r="E68" s="93"/>
      <c r="F68" s="93"/>
      <c r="G68" s="93"/>
      <c r="H68" s="93"/>
    </row>
    <row r="69" spans="1:8" x14ac:dyDescent="0.25">
      <c r="A69" s="93" t="s">
        <v>28</v>
      </c>
      <c r="B69" s="93"/>
      <c r="C69" s="93"/>
      <c r="D69" s="93"/>
      <c r="E69" s="93"/>
      <c r="F69" s="93"/>
      <c r="G69" s="93"/>
      <c r="H69" s="93"/>
    </row>
    <row r="70" spans="1:8" x14ac:dyDescent="0.25">
      <c r="A70" s="1"/>
      <c r="B70" s="9"/>
      <c r="C70" s="9"/>
      <c r="D70" s="9"/>
      <c r="E70" s="9"/>
      <c r="F70" s="9"/>
      <c r="G70" s="9"/>
      <c r="H70" s="9"/>
    </row>
    <row r="71" spans="1:8" ht="15.75" x14ac:dyDescent="0.25">
      <c r="A71" s="5"/>
      <c r="B71" s="13" t="s">
        <v>86</v>
      </c>
      <c r="C71" s="13">
        <v>42900</v>
      </c>
    </row>
    <row r="73" spans="1:8" x14ac:dyDescent="0.25">
      <c r="B73" s="10">
        <f>C71-B66</f>
        <v>5477.3599999999933</v>
      </c>
      <c r="C73"/>
      <c r="D73"/>
      <c r="E73"/>
      <c r="F73"/>
      <c r="G73"/>
      <c r="H73"/>
    </row>
    <row r="77" spans="1:8" x14ac:dyDescent="0.25">
      <c r="A77" s="22"/>
      <c r="B77" s="23"/>
      <c r="C77" s="23"/>
      <c r="D77" s="23"/>
      <c r="E77" s="112" t="s">
        <v>29</v>
      </c>
      <c r="F77" s="112"/>
      <c r="G77" s="112"/>
      <c r="H77" s="112"/>
    </row>
    <row r="78" spans="1:8" x14ac:dyDescent="0.25">
      <c r="A78" s="113"/>
      <c r="B78" s="114"/>
      <c r="C78" s="114"/>
      <c r="D78" s="115"/>
      <c r="E78" s="115" t="s">
        <v>0</v>
      </c>
      <c r="F78" s="115"/>
      <c r="G78" s="115"/>
      <c r="H78" s="115"/>
    </row>
    <row r="79" spans="1:8" x14ac:dyDescent="0.25">
      <c r="A79" s="113"/>
      <c r="B79" s="114"/>
      <c r="C79" s="114"/>
      <c r="D79" s="115"/>
      <c r="E79" s="115" t="s">
        <v>1</v>
      </c>
      <c r="F79" s="115"/>
      <c r="G79" s="115"/>
      <c r="H79" s="115"/>
    </row>
    <row r="80" spans="1:8" ht="15.75" thickBot="1" x14ac:dyDescent="0.3">
      <c r="A80" s="98" t="s">
        <v>87</v>
      </c>
      <c r="B80" s="98"/>
      <c r="C80" s="98"/>
      <c r="D80" s="98"/>
      <c r="E80" s="98"/>
      <c r="F80" s="98"/>
      <c r="G80" s="99"/>
      <c r="H80" s="99"/>
    </row>
    <row r="81" spans="1:9" ht="15.75" thickBot="1" x14ac:dyDescent="0.3">
      <c r="A81" s="100" t="s">
        <v>2</v>
      </c>
      <c r="B81" s="103" t="s">
        <v>30</v>
      </c>
      <c r="C81" s="104"/>
      <c r="D81" s="104"/>
      <c r="E81" s="104"/>
      <c r="F81" s="104"/>
      <c r="G81" s="105" t="s">
        <v>3</v>
      </c>
      <c r="H81" s="106"/>
    </row>
    <row r="82" spans="1:9" ht="105.75" thickBot="1" x14ac:dyDescent="0.3">
      <c r="A82" s="101"/>
      <c r="B82" s="96" t="s">
        <v>30</v>
      </c>
      <c r="C82" s="107"/>
      <c r="D82" s="25" t="s">
        <v>32</v>
      </c>
      <c r="E82" s="107" t="s">
        <v>4</v>
      </c>
      <c r="F82" s="97"/>
      <c r="G82" s="108"/>
      <c r="H82" s="109"/>
    </row>
    <row r="83" spans="1:9" ht="150.75" thickBot="1" x14ac:dyDescent="0.3">
      <c r="A83" s="102"/>
      <c r="B83" s="7" t="s">
        <v>36</v>
      </c>
      <c r="C83" s="7" t="s">
        <v>5</v>
      </c>
      <c r="D83" s="7" t="s">
        <v>33</v>
      </c>
      <c r="E83" s="7" t="s">
        <v>34</v>
      </c>
      <c r="F83" s="7" t="s">
        <v>35</v>
      </c>
      <c r="G83" s="110"/>
      <c r="H83" s="111"/>
    </row>
    <row r="84" spans="1:9" ht="15.75" thickBot="1" x14ac:dyDescent="0.3">
      <c r="A84" s="24">
        <v>1</v>
      </c>
      <c r="B84" s="7">
        <v>2</v>
      </c>
      <c r="C84" s="11">
        <v>3</v>
      </c>
      <c r="D84" s="7">
        <v>4</v>
      </c>
      <c r="E84" s="11">
        <v>5</v>
      </c>
      <c r="F84" s="7">
        <v>6</v>
      </c>
      <c r="G84" s="96" t="s">
        <v>37</v>
      </c>
      <c r="H84" s="97"/>
    </row>
    <row r="85" spans="1:9" ht="60.75" thickBot="1" x14ac:dyDescent="0.3">
      <c r="A85" s="2" t="s">
        <v>7</v>
      </c>
      <c r="B85" s="6">
        <f>B86</f>
        <v>39292.76</v>
      </c>
      <c r="C85" s="12"/>
      <c r="D85" s="6">
        <f>D86</f>
        <v>12408.239999999998</v>
      </c>
      <c r="E85" s="8" t="s">
        <v>8</v>
      </c>
      <c r="F85" s="8" t="s">
        <v>8</v>
      </c>
      <c r="G85" s="90">
        <f>53242-305-1236</f>
        <v>51701</v>
      </c>
      <c r="H85" s="91"/>
    </row>
    <row r="86" spans="1:9" ht="15.75" thickBot="1" x14ac:dyDescent="0.3">
      <c r="A86" s="3" t="s">
        <v>9</v>
      </c>
      <c r="B86" s="6">
        <f>G86*76%</f>
        <v>39292.76</v>
      </c>
      <c r="C86" s="12"/>
      <c r="D86" s="26">
        <f>G86-B86</f>
        <v>12408.239999999998</v>
      </c>
      <c r="E86" s="8" t="s">
        <v>8</v>
      </c>
      <c r="F86" s="8" t="s">
        <v>8</v>
      </c>
      <c r="G86" s="90">
        <f>G85</f>
        <v>51701</v>
      </c>
      <c r="H86" s="91"/>
    </row>
    <row r="87" spans="1:9" ht="15.75" thickBot="1" x14ac:dyDescent="0.3">
      <c r="A87" s="2" t="s">
        <v>10</v>
      </c>
      <c r="B87" s="6">
        <v>0</v>
      </c>
      <c r="C87" s="12"/>
      <c r="D87" s="6">
        <v>0</v>
      </c>
      <c r="E87" s="8" t="s">
        <v>8</v>
      </c>
      <c r="F87" s="8" t="s">
        <v>8</v>
      </c>
      <c r="G87" s="90"/>
      <c r="H87" s="91"/>
    </row>
    <row r="88" spans="1:9" ht="60.75" thickBot="1" x14ac:dyDescent="0.3">
      <c r="A88" s="2" t="s">
        <v>11</v>
      </c>
      <c r="B88" s="6">
        <f>G88*76%</f>
        <v>12781.68</v>
      </c>
      <c r="C88" s="12"/>
      <c r="D88" s="26">
        <f>G88-B88</f>
        <v>4036.3199999999997</v>
      </c>
      <c r="E88" s="8" t="s">
        <v>8</v>
      </c>
      <c r="F88" s="8" t="s">
        <v>8</v>
      </c>
      <c r="G88" s="90">
        <f>16976-158</f>
        <v>16818</v>
      </c>
      <c r="H88" s="91"/>
    </row>
    <row r="89" spans="1:9" ht="30.75" thickBot="1" x14ac:dyDescent="0.3">
      <c r="A89" s="2" t="s">
        <v>12</v>
      </c>
      <c r="B89" s="6">
        <f>G89*76%</f>
        <v>1291.24</v>
      </c>
      <c r="C89" s="12"/>
      <c r="D89" s="26">
        <f>G89-B89</f>
        <v>407.76</v>
      </c>
      <c r="E89" s="8" t="s">
        <v>8</v>
      </c>
      <c r="F89" s="8" t="s">
        <v>8</v>
      </c>
      <c r="G89" s="90">
        <f>158+1236+305</f>
        <v>1699</v>
      </c>
      <c r="H89" s="91"/>
      <c r="I89" s="10">
        <f>G85+G88+G89</f>
        <v>70218</v>
      </c>
    </row>
    <row r="90" spans="1:9" ht="30.75" thickBot="1" x14ac:dyDescent="0.3">
      <c r="A90" s="2" t="s">
        <v>13</v>
      </c>
      <c r="B90" s="6">
        <f>G90*56%</f>
        <v>0</v>
      </c>
      <c r="C90" s="6"/>
      <c r="D90" s="26">
        <f>G90-B90</f>
        <v>0</v>
      </c>
      <c r="E90" s="8" t="s">
        <v>8</v>
      </c>
      <c r="F90" s="8" t="s">
        <v>8</v>
      </c>
      <c r="G90" s="90">
        <v>0</v>
      </c>
      <c r="H90" s="91"/>
      <c r="I90">
        <f>37982+8321</f>
        <v>46303</v>
      </c>
    </row>
    <row r="91" spans="1:9" ht="30.75" thickBot="1" x14ac:dyDescent="0.3">
      <c r="A91" s="2" t="s">
        <v>14</v>
      </c>
      <c r="B91" s="6">
        <f>G91*56%</f>
        <v>1563.5200000000002</v>
      </c>
      <c r="C91" s="6"/>
      <c r="D91" s="26">
        <f>G91-B91</f>
        <v>1228.4799999999998</v>
      </c>
      <c r="E91" s="8" t="s">
        <v>8</v>
      </c>
      <c r="F91" s="8" t="s">
        <v>8</v>
      </c>
      <c r="G91" s="90">
        <v>2792</v>
      </c>
      <c r="H91" s="91"/>
    </row>
    <row r="92" spans="1:9" ht="45.75" thickBot="1" x14ac:dyDescent="0.3">
      <c r="A92" s="2" t="s">
        <v>15</v>
      </c>
      <c r="B92" s="8" t="s">
        <v>8</v>
      </c>
      <c r="C92" s="8" t="s">
        <v>8</v>
      </c>
      <c r="D92" s="6"/>
      <c r="E92" s="8" t="s">
        <v>8</v>
      </c>
      <c r="F92" s="8" t="s">
        <v>8</v>
      </c>
      <c r="G92" s="90"/>
      <c r="H92" s="91"/>
    </row>
    <row r="93" spans="1:9" ht="15.75" thickBot="1" x14ac:dyDescent="0.3">
      <c r="A93" s="2" t="s">
        <v>16</v>
      </c>
      <c r="B93" s="8" t="s">
        <v>8</v>
      </c>
      <c r="C93" s="8" t="s">
        <v>8</v>
      </c>
      <c r="D93" s="12"/>
      <c r="E93" s="6">
        <v>4500</v>
      </c>
      <c r="F93" s="6"/>
      <c r="G93" s="90">
        <v>4500</v>
      </c>
      <c r="H93" s="91"/>
    </row>
    <row r="94" spans="1:9" ht="15.75" thickBot="1" x14ac:dyDescent="0.3">
      <c r="A94" s="3" t="s">
        <v>17</v>
      </c>
      <c r="B94" s="6">
        <f>G94*56%</f>
        <v>0</v>
      </c>
      <c r="C94" s="8"/>
      <c r="D94" s="6"/>
      <c r="E94" s="6">
        <f>G94-B94</f>
        <v>0</v>
      </c>
      <c r="F94" s="6"/>
      <c r="G94" s="90">
        <v>0</v>
      </c>
      <c r="H94" s="91"/>
    </row>
    <row r="95" spans="1:9" ht="15.75" thickBot="1" x14ac:dyDescent="0.3">
      <c r="A95" s="3" t="s">
        <v>18</v>
      </c>
      <c r="B95" s="6"/>
      <c r="C95" s="8"/>
      <c r="D95" s="8"/>
      <c r="E95" s="6"/>
      <c r="F95" s="6"/>
      <c r="G95" s="90"/>
      <c r="H95" s="91"/>
    </row>
    <row r="96" spans="1:9" ht="45.75" thickBot="1" x14ac:dyDescent="0.3">
      <c r="A96" s="2" t="s">
        <v>19</v>
      </c>
      <c r="B96" s="6"/>
      <c r="C96" s="8"/>
      <c r="D96" s="6"/>
      <c r="E96" s="6"/>
      <c r="F96" s="6"/>
      <c r="G96" s="94"/>
      <c r="H96" s="95"/>
    </row>
    <row r="97" spans="1:8" ht="45.75" thickBot="1" x14ac:dyDescent="0.3">
      <c r="A97" s="2" t="s">
        <v>20</v>
      </c>
      <c r="B97" s="6">
        <f>G97*56%</f>
        <v>85.68</v>
      </c>
      <c r="C97" s="8"/>
      <c r="D97" s="6"/>
      <c r="E97" s="6">
        <f>G97-B97</f>
        <v>67.319999999999993</v>
      </c>
      <c r="F97" s="6"/>
      <c r="G97" s="90">
        <v>153</v>
      </c>
      <c r="H97" s="91"/>
    </row>
    <row r="98" spans="1:8" ht="30.75" thickBot="1" x14ac:dyDescent="0.3">
      <c r="A98" s="2" t="s">
        <v>21</v>
      </c>
      <c r="B98" s="6">
        <f>G98*56%</f>
        <v>1843.5200000000002</v>
      </c>
      <c r="C98" s="6"/>
      <c r="D98" s="26">
        <f>G98-B98</f>
        <v>1448.4799999999998</v>
      </c>
      <c r="E98" s="8" t="s">
        <v>8</v>
      </c>
      <c r="F98" s="8" t="s">
        <v>8</v>
      </c>
      <c r="G98" s="90">
        <v>3292</v>
      </c>
      <c r="H98" s="91"/>
    </row>
    <row r="99" spans="1:8" ht="15.75" thickBot="1" x14ac:dyDescent="0.3">
      <c r="A99" s="3" t="s">
        <v>22</v>
      </c>
      <c r="B99" s="6">
        <f>G99*56%</f>
        <v>30.800000000000004</v>
      </c>
      <c r="C99" s="6"/>
      <c r="D99" s="31">
        <f>G99-B99</f>
        <v>24.199999999999996</v>
      </c>
      <c r="E99" s="8" t="s">
        <v>8</v>
      </c>
      <c r="F99" s="8" t="s">
        <v>8</v>
      </c>
      <c r="G99" s="90">
        <v>55</v>
      </c>
      <c r="H99" s="91"/>
    </row>
    <row r="100" spans="1:8" ht="15.75" thickBot="1" x14ac:dyDescent="0.3">
      <c r="A100" s="3" t="s">
        <v>23</v>
      </c>
      <c r="B100" s="8" t="s">
        <v>8</v>
      </c>
      <c r="C100" s="12"/>
      <c r="D100" s="8" t="s">
        <v>8</v>
      </c>
      <c r="E100" s="8" t="s">
        <v>8</v>
      </c>
      <c r="F100" s="8" t="s">
        <v>8</v>
      </c>
      <c r="G100" s="94"/>
      <c r="H100" s="95"/>
    </row>
    <row r="101" spans="1:8" ht="15.75" thickBot="1" x14ac:dyDescent="0.3">
      <c r="A101" s="3" t="s">
        <v>24</v>
      </c>
      <c r="B101" s="6">
        <f>G101*56%</f>
        <v>0</v>
      </c>
      <c r="C101" s="6"/>
      <c r="D101" s="6"/>
      <c r="E101" s="8" t="s">
        <v>8</v>
      </c>
      <c r="F101" s="8" t="s">
        <v>8</v>
      </c>
      <c r="G101" s="90"/>
      <c r="H101" s="91"/>
    </row>
    <row r="102" spans="1:8" ht="15.75" thickBot="1" x14ac:dyDescent="0.3">
      <c r="A102" s="4" t="s">
        <v>25</v>
      </c>
      <c r="B102" s="6">
        <f>SUM(B86:B101)</f>
        <v>56889.2</v>
      </c>
      <c r="C102" s="6"/>
      <c r="D102" s="6">
        <f>SUM(D86:D101)</f>
        <v>19553.479999999996</v>
      </c>
      <c r="E102" s="6">
        <f>SUM(E86:E101)</f>
        <v>4567.32</v>
      </c>
      <c r="F102" s="6"/>
      <c r="G102" s="90">
        <f>SUM(G86:H101)</f>
        <v>81010</v>
      </c>
      <c r="H102" s="91"/>
    </row>
    <row r="103" spans="1:8" x14ac:dyDescent="0.25">
      <c r="A103" s="92" t="s">
        <v>26</v>
      </c>
      <c r="B103" s="92"/>
      <c r="C103" s="92"/>
      <c r="D103" s="92"/>
      <c r="E103" s="92"/>
      <c r="F103" s="92"/>
      <c r="G103" s="92"/>
      <c r="H103" s="92"/>
    </row>
    <row r="104" spans="1:8" x14ac:dyDescent="0.25">
      <c r="A104" s="93" t="s">
        <v>27</v>
      </c>
      <c r="B104" s="93"/>
      <c r="C104" s="93"/>
      <c r="D104" s="93"/>
      <c r="E104" s="93"/>
      <c r="F104" s="93"/>
      <c r="G104" s="93"/>
      <c r="H104" s="93"/>
    </row>
    <row r="105" spans="1:8" x14ac:dyDescent="0.25">
      <c r="A105" s="93" t="s">
        <v>28</v>
      </c>
      <c r="B105" s="93"/>
      <c r="C105" s="93"/>
      <c r="D105" s="93"/>
      <c r="E105" s="93"/>
      <c r="F105" s="93"/>
      <c r="G105" s="93"/>
      <c r="H105" s="93"/>
    </row>
    <row r="106" spans="1:8" x14ac:dyDescent="0.25">
      <c r="A106" s="1"/>
      <c r="B106" s="9"/>
      <c r="C106" s="9"/>
      <c r="D106" s="9"/>
      <c r="E106" s="9"/>
      <c r="F106" s="9"/>
      <c r="G106" s="9"/>
      <c r="H106" s="9"/>
    </row>
    <row r="107" spans="1:8" ht="15.75" x14ac:dyDescent="0.25">
      <c r="A107" s="5"/>
    </row>
    <row r="108" spans="1:8" x14ac:dyDescent="0.25">
      <c r="B108" s="13" t="s">
        <v>88</v>
      </c>
      <c r="C108" s="13">
        <v>64100</v>
      </c>
    </row>
    <row r="109" spans="1:8" x14ac:dyDescent="0.25">
      <c r="B109" s="10">
        <f>C108-B102</f>
        <v>7210.8000000000029</v>
      </c>
      <c r="C109"/>
      <c r="D109"/>
      <c r="E109"/>
      <c r="F109"/>
      <c r="G109"/>
      <c r="H109"/>
    </row>
    <row r="116" spans="1:9" x14ac:dyDescent="0.25">
      <c r="A116" s="22"/>
      <c r="B116" s="23"/>
      <c r="C116" s="23"/>
      <c r="D116" s="23"/>
      <c r="E116" s="112" t="s">
        <v>29</v>
      </c>
      <c r="F116" s="112"/>
      <c r="G116" s="112"/>
      <c r="H116" s="112"/>
    </row>
    <row r="117" spans="1:9" x14ac:dyDescent="0.25">
      <c r="A117" s="113"/>
      <c r="B117" s="114"/>
      <c r="C117" s="114"/>
      <c r="D117" s="115"/>
      <c r="E117" s="115" t="s">
        <v>0</v>
      </c>
      <c r="F117" s="115"/>
      <c r="G117" s="115"/>
      <c r="H117" s="115"/>
    </row>
    <row r="118" spans="1:9" x14ac:dyDescent="0.25">
      <c r="A118" s="113"/>
      <c r="B118" s="114"/>
      <c r="C118" s="114"/>
      <c r="D118" s="115"/>
      <c r="E118" s="115" t="s">
        <v>1</v>
      </c>
      <c r="F118" s="115"/>
      <c r="G118" s="115"/>
      <c r="H118" s="115"/>
    </row>
    <row r="119" spans="1:9" ht="15.75" thickBot="1" x14ac:dyDescent="0.3">
      <c r="A119" s="98" t="s">
        <v>89</v>
      </c>
      <c r="B119" s="98"/>
      <c r="C119" s="98"/>
      <c r="D119" s="98"/>
      <c r="E119" s="98"/>
      <c r="F119" s="98"/>
      <c r="G119" s="99"/>
      <c r="H119" s="99"/>
    </row>
    <row r="120" spans="1:9" ht="15.75" thickBot="1" x14ac:dyDescent="0.3">
      <c r="A120" s="100" t="s">
        <v>2</v>
      </c>
      <c r="B120" s="103" t="s">
        <v>30</v>
      </c>
      <c r="C120" s="104"/>
      <c r="D120" s="104"/>
      <c r="E120" s="104"/>
      <c r="F120" s="104"/>
      <c r="G120" s="105" t="s">
        <v>3</v>
      </c>
      <c r="H120" s="106"/>
    </row>
    <row r="121" spans="1:9" ht="105.75" thickBot="1" x14ac:dyDescent="0.3">
      <c r="A121" s="101"/>
      <c r="B121" s="96" t="s">
        <v>30</v>
      </c>
      <c r="C121" s="107"/>
      <c r="D121" s="25" t="s">
        <v>32</v>
      </c>
      <c r="E121" s="107" t="s">
        <v>4</v>
      </c>
      <c r="F121" s="97"/>
      <c r="G121" s="108"/>
      <c r="H121" s="109"/>
    </row>
    <row r="122" spans="1:9" ht="150.75" thickBot="1" x14ac:dyDescent="0.3">
      <c r="A122" s="102"/>
      <c r="B122" s="7" t="s">
        <v>36</v>
      </c>
      <c r="C122" s="7" t="s">
        <v>5</v>
      </c>
      <c r="D122" s="7" t="s">
        <v>33</v>
      </c>
      <c r="E122" s="7" t="s">
        <v>34</v>
      </c>
      <c r="F122" s="7" t="s">
        <v>35</v>
      </c>
      <c r="G122" s="110"/>
      <c r="H122" s="111"/>
    </row>
    <row r="123" spans="1:9" ht="15.75" thickBot="1" x14ac:dyDescent="0.3">
      <c r="A123" s="24">
        <v>1</v>
      </c>
      <c r="B123" s="7">
        <v>2</v>
      </c>
      <c r="C123" s="11">
        <v>3</v>
      </c>
      <c r="D123" s="7">
        <v>4</v>
      </c>
      <c r="E123" s="11">
        <v>5</v>
      </c>
      <c r="F123" s="7">
        <v>6</v>
      </c>
      <c r="G123" s="96" t="s">
        <v>37</v>
      </c>
      <c r="H123" s="97"/>
    </row>
    <row r="124" spans="1:9" ht="60.75" thickBot="1" x14ac:dyDescent="0.3">
      <c r="A124" s="2" t="s">
        <v>7</v>
      </c>
      <c r="B124" s="6">
        <f>B125</f>
        <v>53716.800000000003</v>
      </c>
      <c r="C124" s="12"/>
      <c r="D124" s="6">
        <f>D125</f>
        <v>16963.199999999997</v>
      </c>
      <c r="E124" s="8" t="s">
        <v>8</v>
      </c>
      <c r="F124" s="8" t="s">
        <v>8</v>
      </c>
      <c r="G124" s="90">
        <f>72331-415-1236</f>
        <v>70680</v>
      </c>
      <c r="H124" s="91"/>
    </row>
    <row r="125" spans="1:9" ht="15.75" thickBot="1" x14ac:dyDescent="0.3">
      <c r="A125" s="3" t="s">
        <v>9</v>
      </c>
      <c r="B125" s="6">
        <f>G125*76%</f>
        <v>53716.800000000003</v>
      </c>
      <c r="C125" s="12"/>
      <c r="D125" s="26">
        <f>G125-B125</f>
        <v>16963.199999999997</v>
      </c>
      <c r="E125" s="8" t="s">
        <v>8</v>
      </c>
      <c r="F125" s="8" t="s">
        <v>8</v>
      </c>
      <c r="G125" s="90">
        <f>G124-G126</f>
        <v>70680</v>
      </c>
      <c r="H125" s="91"/>
    </row>
    <row r="126" spans="1:9" ht="15.75" thickBot="1" x14ac:dyDescent="0.3">
      <c r="A126" s="2" t="s">
        <v>10</v>
      </c>
      <c r="B126" s="6">
        <v>0</v>
      </c>
      <c r="C126" s="12"/>
      <c r="D126" s="6">
        <v>0</v>
      </c>
      <c r="E126" s="8" t="s">
        <v>8</v>
      </c>
      <c r="F126" s="8" t="s">
        <v>8</v>
      </c>
      <c r="G126" s="90"/>
      <c r="H126" s="91"/>
    </row>
    <row r="127" spans="1:9" ht="60.75" thickBot="1" x14ac:dyDescent="0.3">
      <c r="A127" s="2" t="s">
        <v>11</v>
      </c>
      <c r="B127" s="6">
        <f>G127*76%</f>
        <v>16450.96</v>
      </c>
      <c r="C127" s="12"/>
      <c r="D127" s="26">
        <f>G127-B127</f>
        <v>5195.0400000000009</v>
      </c>
      <c r="E127" s="8" t="s">
        <v>8</v>
      </c>
      <c r="F127" s="8" t="s">
        <v>8</v>
      </c>
      <c r="G127" s="90">
        <f>21854-208</f>
        <v>21646</v>
      </c>
      <c r="H127" s="91"/>
    </row>
    <row r="128" spans="1:9" ht="30.75" thickBot="1" x14ac:dyDescent="0.3">
      <c r="A128" s="2" t="s">
        <v>12</v>
      </c>
      <c r="B128" s="6">
        <f>G128*76%</f>
        <v>1412.84</v>
      </c>
      <c r="C128" s="12"/>
      <c r="D128" s="26">
        <f>G128-B128</f>
        <v>446.16000000000008</v>
      </c>
      <c r="E128" s="8" t="s">
        <v>8</v>
      </c>
      <c r="F128" s="8" t="s">
        <v>8</v>
      </c>
      <c r="G128" s="90">
        <f>208+1236+415</f>
        <v>1859</v>
      </c>
      <c r="H128" s="91"/>
      <c r="I128" s="10">
        <f>G128+G127+G124</f>
        <v>94185</v>
      </c>
    </row>
    <row r="129" spans="1:8" ht="30.75" thickBot="1" x14ac:dyDescent="0.3">
      <c r="A129" s="2" t="s">
        <v>13</v>
      </c>
      <c r="B129" s="6">
        <f>G129*56%</f>
        <v>0</v>
      </c>
      <c r="C129" s="6"/>
      <c r="D129" s="26">
        <f>G129-B129</f>
        <v>0</v>
      </c>
      <c r="E129" s="8" t="s">
        <v>8</v>
      </c>
      <c r="F129" s="8" t="s">
        <v>8</v>
      </c>
      <c r="G129" s="90">
        <v>0</v>
      </c>
      <c r="H129" s="91"/>
    </row>
    <row r="130" spans="1:8" ht="30.75" thickBot="1" x14ac:dyDescent="0.3">
      <c r="A130" s="2" t="s">
        <v>14</v>
      </c>
      <c r="B130" s="6">
        <f>G130*56%</f>
        <v>1988.5600000000002</v>
      </c>
      <c r="C130" s="6"/>
      <c r="D130" s="26">
        <f>G130-B130</f>
        <v>1562.4399999999998</v>
      </c>
      <c r="E130" s="8" t="s">
        <v>8</v>
      </c>
      <c r="F130" s="8" t="s">
        <v>8</v>
      </c>
      <c r="G130" s="90">
        <v>3551</v>
      </c>
      <c r="H130" s="91"/>
    </row>
    <row r="131" spans="1:8" ht="45.75" thickBot="1" x14ac:dyDescent="0.3">
      <c r="A131" s="2" t="s">
        <v>15</v>
      </c>
      <c r="B131" s="8" t="s">
        <v>8</v>
      </c>
      <c r="C131" s="8" t="s">
        <v>8</v>
      </c>
      <c r="D131" s="6"/>
      <c r="E131" s="8" t="s">
        <v>8</v>
      </c>
      <c r="F131" s="8" t="s">
        <v>8</v>
      </c>
      <c r="G131" s="90"/>
      <c r="H131" s="91"/>
    </row>
    <row r="132" spans="1:8" ht="15.75" thickBot="1" x14ac:dyDescent="0.3">
      <c r="A132" s="2" t="s">
        <v>16</v>
      </c>
      <c r="B132" s="8" t="s">
        <v>8</v>
      </c>
      <c r="C132" s="8" t="s">
        <v>8</v>
      </c>
      <c r="D132" s="12"/>
      <c r="E132" s="6">
        <v>6000</v>
      </c>
      <c r="F132" s="6"/>
      <c r="G132" s="90">
        <v>6000</v>
      </c>
      <c r="H132" s="91"/>
    </row>
    <row r="133" spans="1:8" ht="15.75" thickBot="1" x14ac:dyDescent="0.3">
      <c r="A133" s="3" t="s">
        <v>17</v>
      </c>
      <c r="B133" s="6">
        <f>G133*56%</f>
        <v>0</v>
      </c>
      <c r="C133" s="8"/>
      <c r="D133" s="6"/>
      <c r="E133" s="6">
        <f>G133-B133</f>
        <v>0</v>
      </c>
      <c r="F133" s="6"/>
      <c r="G133" s="90">
        <v>0</v>
      </c>
      <c r="H133" s="91"/>
    </row>
    <row r="134" spans="1:8" ht="15.75" thickBot="1" x14ac:dyDescent="0.3">
      <c r="A134" s="3" t="s">
        <v>18</v>
      </c>
      <c r="B134" s="6"/>
      <c r="C134" s="8"/>
      <c r="D134" s="8"/>
      <c r="E134" s="6"/>
      <c r="F134" s="6"/>
      <c r="G134" s="90"/>
      <c r="H134" s="91"/>
    </row>
    <row r="135" spans="1:8" ht="45.75" thickBot="1" x14ac:dyDescent="0.3">
      <c r="A135" s="2" t="s">
        <v>19</v>
      </c>
      <c r="B135" s="6"/>
      <c r="C135" s="8"/>
      <c r="D135" s="6"/>
      <c r="E135" s="6"/>
      <c r="F135" s="6"/>
      <c r="G135" s="94"/>
      <c r="H135" s="95"/>
    </row>
    <row r="136" spans="1:8" ht="45.75" thickBot="1" x14ac:dyDescent="0.3">
      <c r="A136" s="2" t="s">
        <v>20</v>
      </c>
      <c r="B136" s="6">
        <f>G136*56%</f>
        <v>114.24000000000001</v>
      </c>
      <c r="C136" s="8"/>
      <c r="D136" s="6"/>
      <c r="E136" s="6">
        <f>G136-B136</f>
        <v>89.759999999999991</v>
      </c>
      <c r="F136" s="6"/>
      <c r="G136" s="90">
        <v>204</v>
      </c>
      <c r="H136" s="91"/>
    </row>
    <row r="137" spans="1:8" ht="30.75" thickBot="1" x14ac:dyDescent="0.3">
      <c r="A137" s="2" t="s">
        <v>21</v>
      </c>
      <c r="B137" s="6">
        <f>G137*56%</f>
        <v>2801.1200000000003</v>
      </c>
      <c r="C137" s="6"/>
      <c r="D137" s="26">
        <f>G137-B137</f>
        <v>2200.8799999999997</v>
      </c>
      <c r="E137" s="8" t="s">
        <v>8</v>
      </c>
      <c r="F137" s="8" t="s">
        <v>8</v>
      </c>
      <c r="G137" s="90">
        <v>5002</v>
      </c>
      <c r="H137" s="91"/>
    </row>
    <row r="138" spans="1:8" ht="15.75" thickBot="1" x14ac:dyDescent="0.3">
      <c r="A138" s="3" t="s">
        <v>22</v>
      </c>
      <c r="B138" s="6">
        <f>G138*56%</f>
        <v>188.72000000000003</v>
      </c>
      <c r="C138" s="6"/>
      <c r="D138" s="31">
        <f>G138-B138</f>
        <v>148.27999999999997</v>
      </c>
      <c r="E138" s="8" t="s">
        <v>8</v>
      </c>
      <c r="F138" s="8" t="s">
        <v>8</v>
      </c>
      <c r="G138" s="90">
        <v>337</v>
      </c>
      <c r="H138" s="91"/>
    </row>
    <row r="139" spans="1:8" ht="15.75" thickBot="1" x14ac:dyDescent="0.3">
      <c r="A139" s="3" t="s">
        <v>23</v>
      </c>
      <c r="B139" s="8" t="s">
        <v>8</v>
      </c>
      <c r="C139" s="12"/>
      <c r="D139" s="8" t="s">
        <v>8</v>
      </c>
      <c r="E139" s="8" t="s">
        <v>8</v>
      </c>
      <c r="F139" s="8" t="s">
        <v>8</v>
      </c>
      <c r="G139" s="94"/>
      <c r="H139" s="95"/>
    </row>
    <row r="140" spans="1:8" ht="15.75" thickBot="1" x14ac:dyDescent="0.3">
      <c r="A140" s="3" t="s">
        <v>24</v>
      </c>
      <c r="B140" s="6">
        <f>G140*56%</f>
        <v>0</v>
      </c>
      <c r="C140" s="6"/>
      <c r="D140" s="6"/>
      <c r="E140" s="8" t="s">
        <v>8</v>
      </c>
      <c r="F140" s="8" t="s">
        <v>8</v>
      </c>
      <c r="G140" s="90"/>
      <c r="H140" s="91"/>
    </row>
    <row r="141" spans="1:8" ht="15.75" thickBot="1" x14ac:dyDescent="0.3">
      <c r="A141" s="4" t="s">
        <v>25</v>
      </c>
      <c r="B141" s="6">
        <f>SUM(B125:B140)</f>
        <v>76673.240000000005</v>
      </c>
      <c r="C141" s="6"/>
      <c r="D141" s="6">
        <f>SUM(D125:D140)</f>
        <v>26515.999999999996</v>
      </c>
      <c r="E141" s="6">
        <f>SUM(E125:E140)</f>
        <v>6089.76</v>
      </c>
      <c r="F141" s="6"/>
      <c r="G141" s="90">
        <f>SUM(G125:H140)</f>
        <v>109279</v>
      </c>
      <c r="H141" s="91"/>
    </row>
    <row r="142" spans="1:8" x14ac:dyDescent="0.25">
      <c r="A142" s="92" t="s">
        <v>26</v>
      </c>
      <c r="B142" s="92"/>
      <c r="C142" s="92"/>
      <c r="D142" s="92"/>
      <c r="E142" s="92"/>
      <c r="F142" s="92"/>
      <c r="G142" s="92"/>
      <c r="H142" s="92"/>
    </row>
    <row r="143" spans="1:8" x14ac:dyDescent="0.25">
      <c r="A143" s="93" t="s">
        <v>27</v>
      </c>
      <c r="B143" s="93"/>
      <c r="C143" s="93"/>
      <c r="D143" s="93"/>
      <c r="E143" s="93"/>
      <c r="F143" s="93"/>
      <c r="G143" s="93"/>
      <c r="H143" s="93"/>
    </row>
    <row r="144" spans="1:8" x14ac:dyDescent="0.25">
      <c r="A144" s="93" t="s">
        <v>28</v>
      </c>
      <c r="B144" s="93"/>
      <c r="C144" s="93"/>
      <c r="D144" s="93"/>
      <c r="E144" s="93"/>
      <c r="F144" s="93"/>
      <c r="G144" s="93"/>
      <c r="H144" s="93"/>
    </row>
    <row r="145" spans="1:8" x14ac:dyDescent="0.25">
      <c r="A145" s="1"/>
      <c r="B145" s="9"/>
      <c r="C145" s="9"/>
      <c r="D145" s="9"/>
      <c r="E145" s="9"/>
      <c r="F145" s="9"/>
      <c r="G145" s="9"/>
      <c r="H145" s="9"/>
    </row>
    <row r="146" spans="1:8" ht="15.75" x14ac:dyDescent="0.25">
      <c r="A146" s="5"/>
    </row>
    <row r="147" spans="1:8" x14ac:dyDescent="0.25">
      <c r="B147" s="13" t="s">
        <v>90</v>
      </c>
      <c r="C147" s="13">
        <v>85400</v>
      </c>
    </row>
    <row r="148" spans="1:8" x14ac:dyDescent="0.25">
      <c r="B148" s="10">
        <f>C147-B141</f>
        <v>8726.7599999999948</v>
      </c>
      <c r="C148"/>
      <c r="D148"/>
      <c r="E148"/>
      <c r="F148"/>
      <c r="G148"/>
      <c r="H148"/>
    </row>
    <row r="155" spans="1:8" x14ac:dyDescent="0.25">
      <c r="A155" s="22"/>
      <c r="B155" s="23"/>
      <c r="C155" s="23"/>
      <c r="D155" s="23"/>
      <c r="E155" s="112" t="s">
        <v>29</v>
      </c>
      <c r="F155" s="112"/>
      <c r="G155" s="112"/>
      <c r="H155" s="112"/>
    </row>
    <row r="156" spans="1:8" x14ac:dyDescent="0.25">
      <c r="A156" s="113"/>
      <c r="B156" s="114"/>
      <c r="C156" s="114"/>
      <c r="D156" s="115"/>
      <c r="E156" s="115" t="s">
        <v>0</v>
      </c>
      <c r="F156" s="115"/>
      <c r="G156" s="115"/>
      <c r="H156" s="115"/>
    </row>
    <row r="157" spans="1:8" x14ac:dyDescent="0.25">
      <c r="A157" s="113"/>
      <c r="B157" s="114"/>
      <c r="C157" s="114"/>
      <c r="D157" s="115"/>
      <c r="E157" s="115" t="s">
        <v>1</v>
      </c>
      <c r="F157" s="115"/>
      <c r="G157" s="115"/>
      <c r="H157" s="115"/>
    </row>
    <row r="158" spans="1:8" ht="15.75" thickBot="1" x14ac:dyDescent="0.3">
      <c r="A158" s="98" t="s">
        <v>91</v>
      </c>
      <c r="B158" s="98"/>
      <c r="C158" s="98"/>
      <c r="D158" s="98"/>
      <c r="E158" s="98"/>
      <c r="F158" s="98"/>
      <c r="G158" s="99"/>
      <c r="H158" s="99"/>
    </row>
    <row r="159" spans="1:8" ht="15.75" thickBot="1" x14ac:dyDescent="0.3">
      <c r="A159" s="100" t="s">
        <v>2</v>
      </c>
      <c r="B159" s="103" t="s">
        <v>30</v>
      </c>
      <c r="C159" s="104"/>
      <c r="D159" s="104"/>
      <c r="E159" s="104"/>
      <c r="F159" s="104"/>
      <c r="G159" s="105" t="s">
        <v>3</v>
      </c>
      <c r="H159" s="106"/>
    </row>
    <row r="160" spans="1:8" ht="105.75" thickBot="1" x14ac:dyDescent="0.3">
      <c r="A160" s="101"/>
      <c r="B160" s="96" t="s">
        <v>30</v>
      </c>
      <c r="C160" s="107"/>
      <c r="D160" s="25" t="s">
        <v>32</v>
      </c>
      <c r="E160" s="107" t="s">
        <v>4</v>
      </c>
      <c r="F160" s="97"/>
      <c r="G160" s="108"/>
      <c r="H160" s="109"/>
    </row>
    <row r="161" spans="1:8" ht="150.75" thickBot="1" x14ac:dyDescent="0.3">
      <c r="A161" s="102"/>
      <c r="B161" s="7" t="s">
        <v>36</v>
      </c>
      <c r="C161" s="7" t="s">
        <v>5</v>
      </c>
      <c r="D161" s="7" t="s">
        <v>33</v>
      </c>
      <c r="E161" s="7" t="s">
        <v>34</v>
      </c>
      <c r="F161" s="7" t="s">
        <v>35</v>
      </c>
      <c r="G161" s="110"/>
      <c r="H161" s="111"/>
    </row>
    <row r="162" spans="1:8" ht="15.75" thickBot="1" x14ac:dyDescent="0.3">
      <c r="A162" s="24">
        <v>1</v>
      </c>
      <c r="B162" s="7">
        <v>2</v>
      </c>
      <c r="C162" s="11">
        <v>3</v>
      </c>
      <c r="D162" s="7">
        <v>4</v>
      </c>
      <c r="E162" s="11">
        <v>5</v>
      </c>
      <c r="F162" s="7">
        <v>6</v>
      </c>
      <c r="G162" s="96" t="s">
        <v>37</v>
      </c>
      <c r="H162" s="97"/>
    </row>
    <row r="163" spans="1:8" ht="60.75" thickBot="1" x14ac:dyDescent="0.3">
      <c r="A163" s="2" t="s">
        <v>7</v>
      </c>
      <c r="B163" s="6">
        <f>B164</f>
        <v>68941.88</v>
      </c>
      <c r="C163" s="12"/>
      <c r="D163" s="6">
        <f>D164</f>
        <v>21771.119999999995</v>
      </c>
      <c r="E163" s="8" t="s">
        <v>8</v>
      </c>
      <c r="F163" s="8" t="s">
        <v>8</v>
      </c>
      <c r="G163" s="90">
        <f>-543-1236+92492</f>
        <v>90713</v>
      </c>
      <c r="H163" s="91"/>
    </row>
    <row r="164" spans="1:8" ht="15.75" thickBot="1" x14ac:dyDescent="0.3">
      <c r="A164" s="3" t="s">
        <v>9</v>
      </c>
      <c r="B164" s="6">
        <f>G164*76%</f>
        <v>68941.88</v>
      </c>
      <c r="C164" s="12"/>
      <c r="D164" s="26">
        <f>G164-B164</f>
        <v>21771.119999999995</v>
      </c>
      <c r="E164" s="8" t="s">
        <v>8</v>
      </c>
      <c r="F164" s="8" t="s">
        <v>8</v>
      </c>
      <c r="G164" s="90">
        <f>G163-G165</f>
        <v>90713</v>
      </c>
      <c r="H164" s="91"/>
    </row>
    <row r="165" spans="1:8" ht="15.75" thickBot="1" x14ac:dyDescent="0.3">
      <c r="A165" s="2" t="s">
        <v>10</v>
      </c>
      <c r="B165" s="6">
        <v>0</v>
      </c>
      <c r="C165" s="12"/>
      <c r="D165" s="6">
        <v>0</v>
      </c>
      <c r="E165" s="8" t="s">
        <v>8</v>
      </c>
      <c r="F165" s="8" t="s">
        <v>8</v>
      </c>
      <c r="G165" s="116"/>
      <c r="H165" s="91"/>
    </row>
    <row r="166" spans="1:8" ht="60.75" thickBot="1" x14ac:dyDescent="0.3">
      <c r="A166" s="2" t="s">
        <v>11</v>
      </c>
      <c r="B166" s="6">
        <f>G166*76%</f>
        <v>19918.84</v>
      </c>
      <c r="C166" s="12"/>
      <c r="D166" s="26">
        <f>G166-B166</f>
        <v>6290.16</v>
      </c>
      <c r="E166" s="8" t="s">
        <v>8</v>
      </c>
      <c r="F166" s="8" t="s">
        <v>8</v>
      </c>
      <c r="G166" s="90">
        <f>26484-275</f>
        <v>26209</v>
      </c>
      <c r="H166" s="91"/>
    </row>
    <row r="167" spans="1:8" ht="30.75" thickBot="1" x14ac:dyDescent="0.3">
      <c r="A167" s="2" t="s">
        <v>12</v>
      </c>
      <c r="B167" s="6">
        <f>G167*76%</f>
        <v>1561.04</v>
      </c>
      <c r="C167" s="12"/>
      <c r="D167" s="26">
        <f>G167-B167</f>
        <v>492.96000000000004</v>
      </c>
      <c r="E167" s="8" t="s">
        <v>8</v>
      </c>
      <c r="F167" s="8" t="s">
        <v>8</v>
      </c>
      <c r="G167" s="90">
        <f>275+543+1236</f>
        <v>2054</v>
      </c>
      <c r="H167" s="91"/>
    </row>
    <row r="168" spans="1:8" ht="30.75" thickBot="1" x14ac:dyDescent="0.3">
      <c r="A168" s="2" t="s">
        <v>13</v>
      </c>
      <c r="B168" s="6">
        <f>G168*56%</f>
        <v>0</v>
      </c>
      <c r="C168" s="6"/>
      <c r="D168" s="26">
        <f>G168-B168</f>
        <v>0</v>
      </c>
      <c r="E168" s="8" t="s">
        <v>8</v>
      </c>
      <c r="F168" s="8" t="s">
        <v>8</v>
      </c>
      <c r="G168" s="90">
        <v>0</v>
      </c>
      <c r="H168" s="91"/>
    </row>
    <row r="169" spans="1:8" ht="30.75" thickBot="1" x14ac:dyDescent="0.3">
      <c r="A169" s="2" t="s">
        <v>14</v>
      </c>
      <c r="B169" s="6">
        <f>G169*56%</f>
        <v>2303.2800000000002</v>
      </c>
      <c r="C169" s="6"/>
      <c r="D169" s="26">
        <f>G169-B169</f>
        <v>1809.7199999999998</v>
      </c>
      <c r="E169" s="8" t="s">
        <v>8</v>
      </c>
      <c r="F169" s="8" t="s">
        <v>8</v>
      </c>
      <c r="G169" s="90">
        <v>4113</v>
      </c>
      <c r="H169" s="91"/>
    </row>
    <row r="170" spans="1:8" ht="45.75" thickBot="1" x14ac:dyDescent="0.3">
      <c r="A170" s="2" t="s">
        <v>15</v>
      </c>
      <c r="B170" s="8" t="s">
        <v>8</v>
      </c>
      <c r="C170" s="8" t="s">
        <v>8</v>
      </c>
      <c r="D170" s="6"/>
      <c r="E170" s="8" t="s">
        <v>8</v>
      </c>
      <c r="F170" s="8" t="s">
        <v>8</v>
      </c>
      <c r="G170" s="90"/>
      <c r="H170" s="91"/>
    </row>
    <row r="171" spans="1:8" ht="15.75" thickBot="1" x14ac:dyDescent="0.3">
      <c r="A171" s="2" t="s">
        <v>16</v>
      </c>
      <c r="B171" s="8" t="s">
        <v>8</v>
      </c>
      <c r="C171" s="8" t="s">
        <v>8</v>
      </c>
      <c r="D171" s="12"/>
      <c r="E171" s="6">
        <v>7500</v>
      </c>
      <c r="F171" s="6"/>
      <c r="G171" s="90">
        <v>7500</v>
      </c>
      <c r="H171" s="91"/>
    </row>
    <row r="172" spans="1:8" ht="15.75" thickBot="1" x14ac:dyDescent="0.3">
      <c r="A172" s="3" t="s">
        <v>17</v>
      </c>
      <c r="B172" s="6">
        <f>G172*56%</f>
        <v>0</v>
      </c>
      <c r="C172" s="8"/>
      <c r="D172" s="6"/>
      <c r="E172" s="6">
        <f>G172-B172</f>
        <v>0</v>
      </c>
      <c r="F172" s="6"/>
      <c r="G172" s="90">
        <v>0</v>
      </c>
      <c r="H172" s="91"/>
    </row>
    <row r="173" spans="1:8" ht="15.75" thickBot="1" x14ac:dyDescent="0.3">
      <c r="A173" s="3" t="s">
        <v>18</v>
      </c>
      <c r="B173" s="6"/>
      <c r="C173" s="8"/>
      <c r="D173" s="8"/>
      <c r="E173" s="6"/>
      <c r="F173" s="6"/>
      <c r="G173" s="90"/>
      <c r="H173" s="91"/>
    </row>
    <row r="174" spans="1:8" ht="45.75" thickBot="1" x14ac:dyDescent="0.3">
      <c r="A174" s="2" t="s">
        <v>19</v>
      </c>
      <c r="B174" s="6"/>
      <c r="C174" s="8"/>
      <c r="D174" s="6"/>
      <c r="E174" s="6"/>
      <c r="F174" s="6"/>
      <c r="G174" s="94"/>
      <c r="H174" s="95"/>
    </row>
    <row r="175" spans="1:8" ht="45.75" thickBot="1" x14ac:dyDescent="0.3">
      <c r="A175" s="2" t="s">
        <v>20</v>
      </c>
      <c r="B175" s="6">
        <f>G175*56%</f>
        <v>142.80000000000001</v>
      </c>
      <c r="C175" s="8"/>
      <c r="D175" s="6"/>
      <c r="E175" s="6">
        <f>G175-B175</f>
        <v>112.19999999999999</v>
      </c>
      <c r="F175" s="6"/>
      <c r="G175" s="90">
        <v>255</v>
      </c>
      <c r="H175" s="91"/>
    </row>
    <row r="176" spans="1:8" ht="30.75" thickBot="1" x14ac:dyDescent="0.3">
      <c r="A176" s="2" t="s">
        <v>21</v>
      </c>
      <c r="B176" s="6">
        <f>G176*56%</f>
        <v>3019.5200000000004</v>
      </c>
      <c r="C176" s="6"/>
      <c r="D176" s="26">
        <f>G176-B176</f>
        <v>2372.4799999999996</v>
      </c>
      <c r="E176" s="8" t="s">
        <v>8</v>
      </c>
      <c r="F176" s="8" t="s">
        <v>8</v>
      </c>
      <c r="G176" s="90">
        <v>5392</v>
      </c>
      <c r="H176" s="91"/>
    </row>
    <row r="177" spans="1:8" ht="15.75" thickBot="1" x14ac:dyDescent="0.3">
      <c r="A177" s="3" t="s">
        <v>22</v>
      </c>
      <c r="B177" s="6">
        <f>G177*56%</f>
        <v>212.24</v>
      </c>
      <c r="C177" s="6"/>
      <c r="D177" s="26">
        <f>G177-B177</f>
        <v>166.76</v>
      </c>
      <c r="E177" s="8" t="s">
        <v>8</v>
      </c>
      <c r="F177" s="8" t="s">
        <v>8</v>
      </c>
      <c r="G177" s="90">
        <v>379</v>
      </c>
      <c r="H177" s="91"/>
    </row>
    <row r="178" spans="1:8" ht="15.75" thickBot="1" x14ac:dyDescent="0.3">
      <c r="A178" s="3" t="s">
        <v>23</v>
      </c>
      <c r="B178" s="8" t="s">
        <v>8</v>
      </c>
      <c r="C178" s="12"/>
      <c r="D178" s="8" t="s">
        <v>8</v>
      </c>
      <c r="E178" s="8" t="s">
        <v>8</v>
      </c>
      <c r="F178" s="8" t="s">
        <v>8</v>
      </c>
      <c r="G178" s="94"/>
      <c r="H178" s="95"/>
    </row>
    <row r="179" spans="1:8" ht="15.75" thickBot="1" x14ac:dyDescent="0.3">
      <c r="A179" s="3" t="s">
        <v>24</v>
      </c>
      <c r="B179" s="6">
        <f>G179*56%</f>
        <v>0</v>
      </c>
      <c r="C179" s="6"/>
      <c r="D179" s="6"/>
      <c r="E179" s="8" t="s">
        <v>8</v>
      </c>
      <c r="F179" s="8" t="s">
        <v>8</v>
      </c>
      <c r="G179" s="90"/>
      <c r="H179" s="91"/>
    </row>
    <row r="180" spans="1:8" ht="15.75" thickBot="1" x14ac:dyDescent="0.3">
      <c r="A180" s="4" t="s">
        <v>25</v>
      </c>
      <c r="B180" s="6">
        <f>SUM(B164:B179)</f>
        <v>96099.6</v>
      </c>
      <c r="C180" s="6"/>
      <c r="D180" s="6">
        <f>SUM(D164:D179)</f>
        <v>32903.199999999997</v>
      </c>
      <c r="E180" s="6">
        <f>SUM(E164:E179)</f>
        <v>7612.2</v>
      </c>
      <c r="F180" s="6"/>
      <c r="G180" s="90">
        <f>SUM(G164:H179)</f>
        <v>136615</v>
      </c>
      <c r="H180" s="91"/>
    </row>
    <row r="181" spans="1:8" x14ac:dyDescent="0.25">
      <c r="A181" s="92" t="s">
        <v>26</v>
      </c>
      <c r="B181" s="92"/>
      <c r="C181" s="92"/>
      <c r="D181" s="92"/>
      <c r="E181" s="92"/>
      <c r="F181" s="92"/>
      <c r="G181" s="92"/>
      <c r="H181" s="92"/>
    </row>
    <row r="182" spans="1:8" x14ac:dyDescent="0.25">
      <c r="A182" s="93" t="s">
        <v>27</v>
      </c>
      <c r="B182" s="93"/>
      <c r="C182" s="93"/>
      <c r="D182" s="93"/>
      <c r="E182" s="93"/>
      <c r="F182" s="93"/>
      <c r="G182" s="93"/>
      <c r="H182" s="93"/>
    </row>
    <row r="183" spans="1:8" x14ac:dyDescent="0.25">
      <c r="A183" s="93" t="s">
        <v>28</v>
      </c>
      <c r="B183" s="93"/>
      <c r="C183" s="93"/>
      <c r="D183" s="93"/>
      <c r="E183" s="93"/>
      <c r="F183" s="93"/>
      <c r="G183" s="93"/>
      <c r="H183" s="93"/>
    </row>
    <row r="184" spans="1:8" x14ac:dyDescent="0.25">
      <c r="A184" s="1"/>
      <c r="B184" s="9"/>
      <c r="C184" s="9"/>
      <c r="D184" s="9"/>
      <c r="E184" s="9"/>
      <c r="F184" s="9"/>
      <c r="G184" s="9"/>
      <c r="H184" s="9"/>
    </row>
    <row r="185" spans="1:8" ht="15.75" x14ac:dyDescent="0.25">
      <c r="A185" s="5"/>
    </row>
    <row r="186" spans="1:8" x14ac:dyDescent="0.25">
      <c r="B186" s="13" t="s">
        <v>92</v>
      </c>
      <c r="C186" s="13">
        <v>106900</v>
      </c>
    </row>
    <row r="187" spans="1:8" x14ac:dyDescent="0.25">
      <c r="C187" s="10">
        <f>C186-B180</f>
        <v>10800.399999999994</v>
      </c>
      <c r="D187"/>
      <c r="E187"/>
      <c r="F187"/>
      <c r="G187"/>
      <c r="H187"/>
    </row>
    <row r="188" spans="1:8" x14ac:dyDescent="0.25">
      <c r="D188"/>
      <c r="E188"/>
      <c r="F188"/>
      <c r="G188"/>
      <c r="H188"/>
    </row>
    <row r="189" spans="1:8" x14ac:dyDescent="0.25">
      <c r="D189"/>
      <c r="E189"/>
      <c r="F189"/>
      <c r="G189"/>
      <c r="H189"/>
    </row>
    <row r="190" spans="1:8" x14ac:dyDescent="0.25">
      <c r="D190"/>
      <c r="E190"/>
      <c r="F190"/>
      <c r="G190"/>
      <c r="H190"/>
    </row>
    <row r="191" spans="1:8" x14ac:dyDescent="0.25">
      <c r="A191" s="37"/>
      <c r="B191" s="38"/>
      <c r="C191" s="38"/>
      <c r="D191" s="38"/>
      <c r="E191" s="112" t="s">
        <v>29</v>
      </c>
      <c r="F191" s="112"/>
      <c r="G191" s="112"/>
      <c r="H191" s="112"/>
    </row>
    <row r="192" spans="1:8" x14ac:dyDescent="0.25">
      <c r="A192" s="113"/>
      <c r="B192" s="114"/>
      <c r="C192" s="114"/>
      <c r="D192" s="115"/>
      <c r="E192" s="115" t="s">
        <v>0</v>
      </c>
      <c r="F192" s="115"/>
      <c r="G192" s="115"/>
      <c r="H192" s="115"/>
    </row>
    <row r="193" spans="1:10" x14ac:dyDescent="0.25">
      <c r="A193" s="113"/>
      <c r="B193" s="114"/>
      <c r="C193" s="114"/>
      <c r="D193" s="115"/>
      <c r="E193" s="115" t="s">
        <v>1</v>
      </c>
      <c r="F193" s="115"/>
      <c r="G193" s="115"/>
      <c r="H193" s="115"/>
    </row>
    <row r="194" spans="1:10" ht="15.75" thickBot="1" x14ac:dyDescent="0.3">
      <c r="A194" s="98" t="s">
        <v>149</v>
      </c>
      <c r="B194" s="98"/>
      <c r="C194" s="98"/>
      <c r="D194" s="98"/>
      <c r="E194" s="98"/>
      <c r="F194" s="98"/>
      <c r="G194" s="99"/>
      <c r="H194" s="99"/>
    </row>
    <row r="195" spans="1:10" ht="15.75" thickBot="1" x14ac:dyDescent="0.3">
      <c r="A195" s="100" t="s">
        <v>2</v>
      </c>
      <c r="B195" s="103" t="s">
        <v>30</v>
      </c>
      <c r="C195" s="104"/>
      <c r="D195" s="104"/>
      <c r="E195" s="104"/>
      <c r="F195" s="104"/>
      <c r="G195" s="105" t="s">
        <v>3</v>
      </c>
      <c r="H195" s="106"/>
    </row>
    <row r="196" spans="1:10" ht="105.75" thickBot="1" x14ac:dyDescent="0.3">
      <c r="A196" s="101"/>
      <c r="B196" s="96" t="s">
        <v>30</v>
      </c>
      <c r="C196" s="107"/>
      <c r="D196" s="35" t="s">
        <v>32</v>
      </c>
      <c r="E196" s="107" t="s">
        <v>4</v>
      </c>
      <c r="F196" s="97"/>
      <c r="G196" s="108"/>
      <c r="H196" s="109"/>
    </row>
    <row r="197" spans="1:10" ht="150.75" thickBot="1" x14ac:dyDescent="0.3">
      <c r="A197" s="102"/>
      <c r="B197" s="7" t="s">
        <v>36</v>
      </c>
      <c r="C197" s="7" t="s">
        <v>5</v>
      </c>
      <c r="D197" s="7" t="s">
        <v>33</v>
      </c>
      <c r="E197" s="7" t="s">
        <v>34</v>
      </c>
      <c r="F197" s="7" t="s">
        <v>35</v>
      </c>
      <c r="G197" s="110"/>
      <c r="H197" s="111"/>
    </row>
    <row r="198" spans="1:10" ht="15.75" thickBot="1" x14ac:dyDescent="0.3">
      <c r="A198" s="34">
        <v>1</v>
      </c>
      <c r="B198" s="7">
        <v>2</v>
      </c>
      <c r="C198" s="11">
        <v>3</v>
      </c>
      <c r="D198" s="7">
        <v>4</v>
      </c>
      <c r="E198" s="11">
        <v>5</v>
      </c>
      <c r="F198" s="7">
        <v>6</v>
      </c>
      <c r="G198" s="96" t="s">
        <v>37</v>
      </c>
      <c r="H198" s="97"/>
    </row>
    <row r="199" spans="1:10" ht="60.75" thickBot="1" x14ac:dyDescent="0.3">
      <c r="A199" s="2" t="s">
        <v>7</v>
      </c>
      <c r="B199" s="6">
        <f>B200</f>
        <v>80556.960000000006</v>
      </c>
      <c r="C199" s="12"/>
      <c r="D199" s="6">
        <f>D200</f>
        <v>25439.039999999994</v>
      </c>
      <c r="E199" s="8" t="s">
        <v>8</v>
      </c>
      <c r="F199" s="8" t="s">
        <v>8</v>
      </c>
      <c r="G199" s="90">
        <f>85033+20963</f>
        <v>105996</v>
      </c>
      <c r="H199" s="91"/>
    </row>
    <row r="200" spans="1:10" ht="15.75" thickBot="1" x14ac:dyDescent="0.3">
      <c r="A200" s="3" t="s">
        <v>9</v>
      </c>
      <c r="B200" s="6">
        <f>G200*76%</f>
        <v>80556.960000000006</v>
      </c>
      <c r="C200" s="12"/>
      <c r="D200" s="36">
        <f>G200-B200</f>
        <v>25439.039999999994</v>
      </c>
      <c r="E200" s="8" t="s">
        <v>8</v>
      </c>
      <c r="F200" s="8" t="s">
        <v>8</v>
      </c>
      <c r="G200" s="90">
        <f>G199-G201</f>
        <v>105996</v>
      </c>
      <c r="H200" s="91"/>
    </row>
    <row r="201" spans="1:10" ht="15.75" thickBot="1" x14ac:dyDescent="0.3">
      <c r="A201" s="2" t="s">
        <v>10</v>
      </c>
      <c r="B201" s="6">
        <v>0</v>
      </c>
      <c r="C201" s="12"/>
      <c r="D201" s="6">
        <v>0</v>
      </c>
      <c r="E201" s="8" t="s">
        <v>8</v>
      </c>
      <c r="F201" s="8" t="s">
        <v>8</v>
      </c>
      <c r="G201" s="116"/>
      <c r="H201" s="91"/>
    </row>
    <row r="202" spans="1:10" ht="60.75" thickBot="1" x14ac:dyDescent="0.3">
      <c r="A202" s="2" t="s">
        <v>11</v>
      </c>
      <c r="B202" s="6">
        <f>G202*76%</f>
        <v>25746.52</v>
      </c>
      <c r="C202" s="12"/>
      <c r="D202" s="36">
        <f>G202-B202</f>
        <v>8130.48</v>
      </c>
      <c r="E202" s="8" t="s">
        <v>8</v>
      </c>
      <c r="F202" s="8" t="s">
        <v>8</v>
      </c>
      <c r="G202" s="90">
        <f>28833+5044</f>
        <v>33877</v>
      </c>
      <c r="H202" s="91"/>
    </row>
    <row r="203" spans="1:10" ht="30.75" thickBot="1" x14ac:dyDescent="0.3">
      <c r="A203" s="2" t="s">
        <v>12</v>
      </c>
      <c r="B203" s="6">
        <f>G203*76%</f>
        <v>1709.24</v>
      </c>
      <c r="C203" s="12"/>
      <c r="D203" s="36">
        <f>G203-B203</f>
        <v>539.76</v>
      </c>
      <c r="E203" s="8" t="s">
        <v>8</v>
      </c>
      <c r="F203" s="8" t="s">
        <v>8</v>
      </c>
      <c r="G203" s="90">
        <v>2249</v>
      </c>
      <c r="H203" s="91"/>
    </row>
    <row r="204" spans="1:10" ht="30.75" thickBot="1" x14ac:dyDescent="0.3">
      <c r="A204" s="2" t="s">
        <v>13</v>
      </c>
      <c r="B204" s="6">
        <f>G204*56%</f>
        <v>0</v>
      </c>
      <c r="C204" s="6"/>
      <c r="D204" s="36">
        <f>G204-B204</f>
        <v>0</v>
      </c>
      <c r="E204" s="8" t="s">
        <v>8</v>
      </c>
      <c r="F204" s="8" t="s">
        <v>8</v>
      </c>
      <c r="G204" s="90">
        <v>0</v>
      </c>
      <c r="H204" s="91"/>
    </row>
    <row r="205" spans="1:10" ht="30.75" thickBot="1" x14ac:dyDescent="0.3">
      <c r="A205" s="2" t="s">
        <v>14</v>
      </c>
      <c r="B205" s="6">
        <f>G205*56%</f>
        <v>2539.6000000000004</v>
      </c>
      <c r="C205" s="6"/>
      <c r="D205" s="36">
        <f>G205-B205</f>
        <v>1995.3999999999996</v>
      </c>
      <c r="E205" s="8" t="s">
        <v>8</v>
      </c>
      <c r="F205" s="8" t="s">
        <v>8</v>
      </c>
      <c r="G205" s="90">
        <v>4535</v>
      </c>
      <c r="H205" s="91"/>
      <c r="J205" s="10">
        <f>G203+G202+G200</f>
        <v>142122</v>
      </c>
    </row>
    <row r="206" spans="1:10" ht="45.75" thickBot="1" x14ac:dyDescent="0.3">
      <c r="A206" s="2" t="s">
        <v>15</v>
      </c>
      <c r="B206" s="8" t="s">
        <v>8</v>
      </c>
      <c r="C206" s="8" t="s">
        <v>8</v>
      </c>
      <c r="D206" s="6"/>
      <c r="E206" s="8" t="s">
        <v>8</v>
      </c>
      <c r="F206" s="8" t="s">
        <v>8</v>
      </c>
      <c r="G206" s="90"/>
      <c r="H206" s="91"/>
    </row>
    <row r="207" spans="1:10" ht="15.75" thickBot="1" x14ac:dyDescent="0.3">
      <c r="A207" s="2" t="s">
        <v>16</v>
      </c>
      <c r="B207" s="8" t="s">
        <v>8</v>
      </c>
      <c r="C207" s="8" t="s">
        <v>8</v>
      </c>
      <c r="D207" s="12"/>
      <c r="E207" s="6">
        <v>7500</v>
      </c>
      <c r="F207" s="6"/>
      <c r="G207" s="90">
        <v>7500</v>
      </c>
      <c r="H207" s="91"/>
    </row>
    <row r="208" spans="1:10" ht="15.75" thickBot="1" x14ac:dyDescent="0.3">
      <c r="A208" s="3" t="s">
        <v>17</v>
      </c>
      <c r="B208" s="6">
        <f>G208*56%</f>
        <v>0</v>
      </c>
      <c r="C208" s="8"/>
      <c r="D208" s="6"/>
      <c r="E208" s="6">
        <f>G208-B208</f>
        <v>0</v>
      </c>
      <c r="F208" s="6"/>
      <c r="G208" s="90">
        <v>0</v>
      </c>
      <c r="H208" s="91"/>
    </row>
    <row r="209" spans="1:8" ht="15.75" thickBot="1" x14ac:dyDescent="0.3">
      <c r="A209" s="3" t="s">
        <v>18</v>
      </c>
      <c r="B209" s="6"/>
      <c r="C209" s="8"/>
      <c r="D209" s="8"/>
      <c r="E209" s="6"/>
      <c r="F209" s="6"/>
      <c r="G209" s="90"/>
      <c r="H209" s="91"/>
    </row>
    <row r="210" spans="1:8" ht="45.75" thickBot="1" x14ac:dyDescent="0.3">
      <c r="A210" s="2" t="s">
        <v>19</v>
      </c>
      <c r="B210" s="6"/>
      <c r="C210" s="8"/>
      <c r="D210" s="6"/>
      <c r="E210" s="6"/>
      <c r="F210" s="6"/>
      <c r="G210" s="94"/>
      <c r="H210" s="95"/>
    </row>
    <row r="211" spans="1:8" ht="45.75" thickBot="1" x14ac:dyDescent="0.3">
      <c r="A211" s="2" t="s">
        <v>20</v>
      </c>
      <c r="B211" s="6">
        <f>G211*56%</f>
        <v>171.92000000000002</v>
      </c>
      <c r="C211" s="8"/>
      <c r="D211" s="6"/>
      <c r="E211" s="6">
        <f>G211-B211</f>
        <v>135.07999999999998</v>
      </c>
      <c r="F211" s="6"/>
      <c r="G211" s="90">
        <v>307</v>
      </c>
      <c r="H211" s="91"/>
    </row>
    <row r="212" spans="1:8" ht="30.75" thickBot="1" x14ac:dyDescent="0.3">
      <c r="A212" s="2" t="s">
        <v>21</v>
      </c>
      <c r="B212" s="6">
        <f>G212*56%</f>
        <v>4417.2800000000007</v>
      </c>
      <c r="C212" s="6"/>
      <c r="D212" s="36">
        <f>G212-B212</f>
        <v>3470.7199999999993</v>
      </c>
      <c r="E212" s="8" t="s">
        <v>8</v>
      </c>
      <c r="F212" s="8" t="s">
        <v>8</v>
      </c>
      <c r="G212" s="90">
        <f>14972-7500+416</f>
        <v>7888</v>
      </c>
      <c r="H212" s="91"/>
    </row>
    <row r="213" spans="1:8" ht="15.75" thickBot="1" x14ac:dyDescent="0.3">
      <c r="A213" s="3" t="s">
        <v>22</v>
      </c>
      <c r="B213" s="6">
        <f>G213*56%</f>
        <v>220.08</v>
      </c>
      <c r="C213" s="6"/>
      <c r="D213" s="36">
        <f>G213-B213</f>
        <v>172.92</v>
      </c>
      <c r="E213" s="8" t="s">
        <v>8</v>
      </c>
      <c r="F213" s="8" t="s">
        <v>8</v>
      </c>
      <c r="G213" s="90">
        <v>393</v>
      </c>
      <c r="H213" s="91"/>
    </row>
    <row r="214" spans="1:8" ht="15.75" thickBot="1" x14ac:dyDescent="0.3">
      <c r="A214" s="3" t="s">
        <v>23</v>
      </c>
      <c r="B214" s="8" t="s">
        <v>8</v>
      </c>
      <c r="C214" s="12"/>
      <c r="D214" s="8" t="s">
        <v>8</v>
      </c>
      <c r="E214" s="8" t="s">
        <v>8</v>
      </c>
      <c r="F214" s="8" t="s">
        <v>8</v>
      </c>
      <c r="G214" s="94"/>
      <c r="H214" s="95"/>
    </row>
    <row r="215" spans="1:8" ht="15.75" thickBot="1" x14ac:dyDescent="0.3">
      <c r="A215" s="3" t="s">
        <v>24</v>
      </c>
      <c r="B215" s="6">
        <f>G215*56%</f>
        <v>0</v>
      </c>
      <c r="C215" s="6"/>
      <c r="D215" s="6"/>
      <c r="E215" s="8" t="s">
        <v>8</v>
      </c>
      <c r="F215" s="8" t="s">
        <v>8</v>
      </c>
      <c r="G215" s="90"/>
      <c r="H215" s="91"/>
    </row>
    <row r="216" spans="1:8" ht="15.75" thickBot="1" x14ac:dyDescent="0.3">
      <c r="A216" s="4" t="s">
        <v>25</v>
      </c>
      <c r="B216" s="6">
        <f>SUM(B200:B215)</f>
        <v>115361.60000000002</v>
      </c>
      <c r="C216" s="6"/>
      <c r="D216" s="6">
        <f>SUM(D200:D215)</f>
        <v>39748.319999999992</v>
      </c>
      <c r="E216" s="6">
        <f>SUM(E200:E215)</f>
        <v>7635.08</v>
      </c>
      <c r="F216" s="6"/>
      <c r="G216" s="90">
        <f>SUM(G200:H215)</f>
        <v>162745</v>
      </c>
      <c r="H216" s="91"/>
    </row>
    <row r="217" spans="1:8" x14ac:dyDescent="0.25">
      <c r="A217" s="92" t="s">
        <v>26</v>
      </c>
      <c r="B217" s="92"/>
      <c r="C217" s="92"/>
      <c r="D217" s="92"/>
      <c r="E217" s="92"/>
      <c r="F217" s="92"/>
      <c r="G217" s="92"/>
      <c r="H217" s="92"/>
    </row>
    <row r="218" spans="1:8" x14ac:dyDescent="0.25">
      <c r="A218" s="93" t="s">
        <v>27</v>
      </c>
      <c r="B218" s="93"/>
      <c r="C218" s="93"/>
      <c r="D218" s="93"/>
      <c r="E218" s="93"/>
      <c r="F218" s="93"/>
      <c r="G218" s="93"/>
      <c r="H218" s="93"/>
    </row>
    <row r="219" spans="1:8" x14ac:dyDescent="0.25">
      <c r="A219" s="93" t="s">
        <v>28</v>
      </c>
      <c r="B219" s="93"/>
      <c r="C219" s="93"/>
      <c r="D219" s="93"/>
      <c r="E219" s="93"/>
      <c r="F219" s="93"/>
      <c r="G219" s="93"/>
      <c r="H219" s="93"/>
    </row>
    <row r="220" spans="1:8" x14ac:dyDescent="0.25">
      <c r="A220" s="1"/>
      <c r="B220" s="9"/>
      <c r="C220" s="9"/>
      <c r="D220" s="9"/>
      <c r="E220" s="9"/>
      <c r="F220" s="9"/>
      <c r="G220" s="9"/>
      <c r="H220" s="9"/>
    </row>
    <row r="221" spans="1:8" ht="15.75" x14ac:dyDescent="0.25">
      <c r="A221" s="5"/>
    </row>
    <row r="222" spans="1:8" x14ac:dyDescent="0.25">
      <c r="B222" s="13" t="s">
        <v>150</v>
      </c>
      <c r="C222" s="13">
        <v>126915</v>
      </c>
    </row>
    <row r="223" spans="1:8" x14ac:dyDescent="0.25">
      <c r="C223" s="10">
        <f>C222-B216</f>
        <v>11553.39999999998</v>
      </c>
      <c r="D223"/>
      <c r="E223"/>
      <c r="F223"/>
      <c r="G223"/>
      <c r="H223"/>
    </row>
    <row r="224" spans="1:8" x14ac:dyDescent="0.25">
      <c r="D224"/>
      <c r="E224"/>
      <c r="F224"/>
      <c r="G224"/>
      <c r="H224"/>
    </row>
    <row r="225" spans="1:8" x14ac:dyDescent="0.25">
      <c r="D225"/>
      <c r="E225"/>
      <c r="F225"/>
      <c r="G225"/>
      <c r="H225"/>
    </row>
    <row r="226" spans="1:8" x14ac:dyDescent="0.25">
      <c r="D226"/>
      <c r="E226"/>
      <c r="F226"/>
      <c r="G226"/>
      <c r="H226"/>
    </row>
    <row r="227" spans="1:8" x14ac:dyDescent="0.25">
      <c r="D227"/>
      <c r="E227"/>
      <c r="F227"/>
      <c r="G227"/>
      <c r="H227"/>
    </row>
    <row r="228" spans="1:8" x14ac:dyDescent="0.25">
      <c r="A228" s="37"/>
      <c r="B228" s="38"/>
      <c r="C228" s="38"/>
      <c r="D228" s="38"/>
      <c r="E228" s="112" t="s">
        <v>29</v>
      </c>
      <c r="F228" s="112"/>
      <c r="G228" s="112"/>
      <c r="H228" s="112"/>
    </row>
    <row r="229" spans="1:8" x14ac:dyDescent="0.25">
      <c r="A229" s="113"/>
      <c r="B229" s="114"/>
      <c r="C229" s="114"/>
      <c r="D229" s="115"/>
      <c r="E229" s="115" t="s">
        <v>0</v>
      </c>
      <c r="F229" s="115"/>
      <c r="G229" s="115"/>
      <c r="H229" s="115"/>
    </row>
    <row r="230" spans="1:8" x14ac:dyDescent="0.25">
      <c r="A230" s="113"/>
      <c r="B230" s="114"/>
      <c r="C230" s="114"/>
      <c r="D230" s="115"/>
      <c r="E230" s="115" t="s">
        <v>1</v>
      </c>
      <c r="F230" s="115"/>
      <c r="G230" s="115"/>
      <c r="H230" s="115"/>
    </row>
    <row r="231" spans="1:8" ht="15.75" thickBot="1" x14ac:dyDescent="0.3">
      <c r="A231" s="98" t="s">
        <v>151</v>
      </c>
      <c r="B231" s="98"/>
      <c r="C231" s="98"/>
      <c r="D231" s="98"/>
      <c r="E231" s="98"/>
      <c r="F231" s="98"/>
      <c r="G231" s="99"/>
      <c r="H231" s="99"/>
    </row>
    <row r="232" spans="1:8" ht="15.75" thickBot="1" x14ac:dyDescent="0.3">
      <c r="A232" s="100" t="s">
        <v>2</v>
      </c>
      <c r="B232" s="103" t="s">
        <v>30</v>
      </c>
      <c r="C232" s="104"/>
      <c r="D232" s="104"/>
      <c r="E232" s="104"/>
      <c r="F232" s="104"/>
      <c r="G232" s="105" t="s">
        <v>3</v>
      </c>
      <c r="H232" s="106"/>
    </row>
    <row r="233" spans="1:8" ht="105.75" thickBot="1" x14ac:dyDescent="0.3">
      <c r="A233" s="101"/>
      <c r="B233" s="96" t="s">
        <v>30</v>
      </c>
      <c r="C233" s="107"/>
      <c r="D233" s="35" t="s">
        <v>32</v>
      </c>
      <c r="E233" s="107" t="s">
        <v>4</v>
      </c>
      <c r="F233" s="97"/>
      <c r="G233" s="108"/>
      <c r="H233" s="109"/>
    </row>
    <row r="234" spans="1:8" ht="150.75" thickBot="1" x14ac:dyDescent="0.3">
      <c r="A234" s="102"/>
      <c r="B234" s="7" t="s">
        <v>36</v>
      </c>
      <c r="C234" s="7" t="s">
        <v>5</v>
      </c>
      <c r="D234" s="7" t="s">
        <v>33</v>
      </c>
      <c r="E234" s="7" t="s">
        <v>34</v>
      </c>
      <c r="F234" s="7" t="s">
        <v>35</v>
      </c>
      <c r="G234" s="110"/>
      <c r="H234" s="111"/>
    </row>
    <row r="235" spans="1:8" ht="15.75" thickBot="1" x14ac:dyDescent="0.3">
      <c r="A235" s="34">
        <v>1</v>
      </c>
      <c r="B235" s="7">
        <v>2</v>
      </c>
      <c r="C235" s="11">
        <v>3</v>
      </c>
      <c r="D235" s="7">
        <v>4</v>
      </c>
      <c r="E235" s="11">
        <v>5</v>
      </c>
      <c r="F235" s="7">
        <v>6</v>
      </c>
      <c r="G235" s="96" t="s">
        <v>37</v>
      </c>
      <c r="H235" s="97"/>
    </row>
    <row r="236" spans="1:8" ht="60.75" thickBot="1" x14ac:dyDescent="0.3">
      <c r="A236" s="2" t="s">
        <v>7</v>
      </c>
      <c r="B236" s="6">
        <f>B237</f>
        <v>91994.2</v>
      </c>
      <c r="C236" s="12"/>
      <c r="D236" s="6">
        <f>D237</f>
        <v>29050.800000000003</v>
      </c>
      <c r="E236" s="8" t="s">
        <v>8</v>
      </c>
      <c r="F236" s="8" t="s">
        <v>8</v>
      </c>
      <c r="G236" s="90">
        <f>97033+24012</f>
        <v>121045</v>
      </c>
      <c r="H236" s="91"/>
    </row>
    <row r="237" spans="1:8" ht="15.75" thickBot="1" x14ac:dyDescent="0.3">
      <c r="A237" s="3" t="s">
        <v>9</v>
      </c>
      <c r="B237" s="6">
        <f>G237*76%</f>
        <v>91994.2</v>
      </c>
      <c r="C237" s="12"/>
      <c r="D237" s="36">
        <f>G237-B237</f>
        <v>29050.800000000003</v>
      </c>
      <c r="E237" s="8" t="s">
        <v>8</v>
      </c>
      <c r="F237" s="8" t="s">
        <v>8</v>
      </c>
      <c r="G237" s="90">
        <f>G236-G238</f>
        <v>121045</v>
      </c>
      <c r="H237" s="91"/>
    </row>
    <row r="238" spans="1:8" ht="15.75" thickBot="1" x14ac:dyDescent="0.3">
      <c r="A238" s="2" t="s">
        <v>10</v>
      </c>
      <c r="B238" s="6">
        <v>0</v>
      </c>
      <c r="C238" s="12"/>
      <c r="D238" s="6">
        <v>0</v>
      </c>
      <c r="E238" s="8" t="s">
        <v>8</v>
      </c>
      <c r="F238" s="8" t="s">
        <v>8</v>
      </c>
      <c r="G238" s="116"/>
      <c r="H238" s="91"/>
    </row>
    <row r="239" spans="1:8" ht="60.75" thickBot="1" x14ac:dyDescent="0.3">
      <c r="A239" s="2" t="s">
        <v>11</v>
      </c>
      <c r="B239" s="6">
        <f>G239*76%</f>
        <v>29069.24</v>
      </c>
      <c r="C239" s="12"/>
      <c r="D239" s="36">
        <f>G239-B239</f>
        <v>9179.7599999999984</v>
      </c>
      <c r="E239" s="8" t="s">
        <v>8</v>
      </c>
      <c r="F239" s="8" t="s">
        <v>8</v>
      </c>
      <c r="G239" s="90">
        <f>32599+5650</f>
        <v>38249</v>
      </c>
      <c r="H239" s="91"/>
    </row>
    <row r="240" spans="1:8" ht="30.75" thickBot="1" x14ac:dyDescent="0.3">
      <c r="A240" s="2" t="s">
        <v>12</v>
      </c>
      <c r="B240" s="6">
        <f>G240*76%</f>
        <v>1792.08</v>
      </c>
      <c r="C240" s="12"/>
      <c r="D240" s="36">
        <f>G240-B240</f>
        <v>565.92000000000007</v>
      </c>
      <c r="E240" s="8" t="s">
        <v>8</v>
      </c>
      <c r="F240" s="8" t="s">
        <v>8</v>
      </c>
      <c r="G240" s="90">
        <v>2358</v>
      </c>
      <c r="H240" s="91"/>
    </row>
    <row r="241" spans="1:10" ht="30.75" thickBot="1" x14ac:dyDescent="0.3">
      <c r="A241" s="2" t="s">
        <v>13</v>
      </c>
      <c r="B241" s="6">
        <f>G241*56%</f>
        <v>0</v>
      </c>
      <c r="C241" s="6"/>
      <c r="D241" s="36">
        <f>G241-B241</f>
        <v>0</v>
      </c>
      <c r="E241" s="8" t="s">
        <v>8</v>
      </c>
      <c r="F241" s="8" t="s">
        <v>8</v>
      </c>
      <c r="G241" s="90">
        <v>0</v>
      </c>
      <c r="H241" s="91"/>
    </row>
    <row r="242" spans="1:10" ht="30.75" thickBot="1" x14ac:dyDescent="0.3">
      <c r="A242" s="2" t="s">
        <v>14</v>
      </c>
      <c r="B242" s="6">
        <f>G242*56%</f>
        <v>2539.6000000000004</v>
      </c>
      <c r="C242" s="6"/>
      <c r="D242" s="36">
        <f>G242-B242</f>
        <v>1995.3999999999996</v>
      </c>
      <c r="E242" s="8" t="s">
        <v>8</v>
      </c>
      <c r="F242" s="8" t="s">
        <v>8</v>
      </c>
      <c r="G242" s="90">
        <v>4535</v>
      </c>
      <c r="H242" s="91"/>
      <c r="J242" s="10">
        <f>G240+G239+G237</f>
        <v>161652</v>
      </c>
    </row>
    <row r="243" spans="1:10" ht="45.75" thickBot="1" x14ac:dyDescent="0.3">
      <c r="A243" s="2" t="s">
        <v>15</v>
      </c>
      <c r="B243" s="8" t="s">
        <v>8</v>
      </c>
      <c r="C243" s="8" t="s">
        <v>8</v>
      </c>
      <c r="D243" s="6"/>
      <c r="E243" s="8" t="s">
        <v>8</v>
      </c>
      <c r="F243" s="8" t="s">
        <v>8</v>
      </c>
      <c r="G243" s="90"/>
      <c r="H243" s="91"/>
    </row>
    <row r="244" spans="1:10" ht="15.75" thickBot="1" x14ac:dyDescent="0.3">
      <c r="A244" s="2" t="s">
        <v>16</v>
      </c>
      <c r="B244" s="8" t="s">
        <v>8</v>
      </c>
      <c r="C244" s="8" t="s">
        <v>8</v>
      </c>
      <c r="D244" s="12"/>
      <c r="E244" s="6">
        <f>G244</f>
        <v>9000</v>
      </c>
      <c r="F244" s="6"/>
      <c r="G244" s="90">
        <v>9000</v>
      </c>
      <c r="H244" s="91"/>
    </row>
    <row r="245" spans="1:10" ht="15.75" thickBot="1" x14ac:dyDescent="0.3">
      <c r="A245" s="3" t="s">
        <v>17</v>
      </c>
      <c r="B245" s="6">
        <f>G245*56%</f>
        <v>0</v>
      </c>
      <c r="C245" s="8"/>
      <c r="D245" s="6"/>
      <c r="E245" s="6">
        <f>G245-B245</f>
        <v>0</v>
      </c>
      <c r="F245" s="6"/>
      <c r="G245" s="90">
        <v>0</v>
      </c>
      <c r="H245" s="91"/>
    </row>
    <row r="246" spans="1:10" ht="15.75" thickBot="1" x14ac:dyDescent="0.3">
      <c r="A246" s="3" t="s">
        <v>18</v>
      </c>
      <c r="B246" s="6"/>
      <c r="C246" s="8"/>
      <c r="D246" s="8"/>
      <c r="E246" s="6"/>
      <c r="F246" s="6"/>
      <c r="G246" s="90"/>
      <c r="H246" s="91"/>
    </row>
    <row r="247" spans="1:10" ht="45.75" thickBot="1" x14ac:dyDescent="0.3">
      <c r="A247" s="2" t="s">
        <v>19</v>
      </c>
      <c r="B247" s="6"/>
      <c r="C247" s="8"/>
      <c r="D247" s="6"/>
      <c r="E247" s="6"/>
      <c r="F247" s="6"/>
      <c r="G247" s="94"/>
      <c r="H247" s="95"/>
    </row>
    <row r="248" spans="1:10" ht="45.75" thickBot="1" x14ac:dyDescent="0.3">
      <c r="A248" s="2" t="s">
        <v>20</v>
      </c>
      <c r="B248" s="6">
        <f>G248*56%</f>
        <v>200.48000000000002</v>
      </c>
      <c r="C248" s="8"/>
      <c r="D248" s="6"/>
      <c r="E248" s="6">
        <f>G248-B248</f>
        <v>157.51999999999998</v>
      </c>
      <c r="F248" s="6"/>
      <c r="G248" s="90">
        <v>358</v>
      </c>
      <c r="H248" s="91"/>
    </row>
    <row r="249" spans="1:10" ht="30.75" thickBot="1" x14ac:dyDescent="0.3">
      <c r="A249" s="2" t="s">
        <v>21</v>
      </c>
      <c r="B249" s="6">
        <f>G249*56%</f>
        <v>6887.4400000000005</v>
      </c>
      <c r="C249" s="6"/>
      <c r="D249" s="36">
        <f>G249-B249</f>
        <v>5411.5599999999995</v>
      </c>
      <c r="E249" s="8" t="s">
        <v>8</v>
      </c>
      <c r="F249" s="8" t="s">
        <v>8</v>
      </c>
      <c r="G249" s="90">
        <f>20802-9000+497</f>
        <v>12299</v>
      </c>
      <c r="H249" s="91"/>
    </row>
    <row r="250" spans="1:10" ht="15.75" thickBot="1" x14ac:dyDescent="0.3">
      <c r="A250" s="3" t="s">
        <v>22</v>
      </c>
      <c r="B250" s="6">
        <f>G250*56%</f>
        <v>235.76000000000002</v>
      </c>
      <c r="C250" s="6"/>
      <c r="D250" s="36">
        <f>G250-B250</f>
        <v>185.23999999999998</v>
      </c>
      <c r="E250" s="8" t="s">
        <v>8</v>
      </c>
      <c r="F250" s="8" t="s">
        <v>8</v>
      </c>
      <c r="G250" s="90">
        <v>421</v>
      </c>
      <c r="H250" s="91"/>
    </row>
    <row r="251" spans="1:10" ht="15.75" thickBot="1" x14ac:dyDescent="0.3">
      <c r="A251" s="3" t="s">
        <v>23</v>
      </c>
      <c r="B251" s="8" t="s">
        <v>8</v>
      </c>
      <c r="C251" s="12"/>
      <c r="D251" s="8" t="s">
        <v>8</v>
      </c>
      <c r="E251" s="8" t="s">
        <v>8</v>
      </c>
      <c r="F251" s="8" t="s">
        <v>8</v>
      </c>
      <c r="G251" s="94"/>
      <c r="H251" s="95"/>
    </row>
    <row r="252" spans="1:10" ht="15.75" thickBot="1" x14ac:dyDescent="0.3">
      <c r="A252" s="3" t="s">
        <v>24</v>
      </c>
      <c r="B252" s="6">
        <f>G252*56%</f>
        <v>0</v>
      </c>
      <c r="C252" s="6"/>
      <c r="D252" s="6"/>
      <c r="E252" s="8" t="s">
        <v>8</v>
      </c>
      <c r="F252" s="8" t="s">
        <v>8</v>
      </c>
      <c r="G252" s="90"/>
      <c r="H252" s="91"/>
      <c r="J252" s="10">
        <f>G248-307</f>
        <v>51</v>
      </c>
    </row>
    <row r="253" spans="1:10" ht="15.75" thickBot="1" x14ac:dyDescent="0.3">
      <c r="A253" s="4" t="s">
        <v>25</v>
      </c>
      <c r="B253" s="6">
        <f>SUM(B237:B252)</f>
        <v>132718.80000000002</v>
      </c>
      <c r="C253" s="6"/>
      <c r="D253" s="6">
        <f>SUM(D237:D252)</f>
        <v>46388.679999999993</v>
      </c>
      <c r="E253" s="6">
        <f>SUM(E237:E252)</f>
        <v>9157.52</v>
      </c>
      <c r="F253" s="6"/>
      <c r="G253" s="90">
        <f>SUM(G237:H252)</f>
        <v>188265</v>
      </c>
      <c r="H253" s="91"/>
      <c r="J253" s="10">
        <f>G253-188212</f>
        <v>53</v>
      </c>
    </row>
    <row r="254" spans="1:10" x14ac:dyDescent="0.25">
      <c r="A254" s="92" t="s">
        <v>26</v>
      </c>
      <c r="B254" s="92"/>
      <c r="C254" s="92"/>
      <c r="D254" s="92"/>
      <c r="E254" s="92"/>
      <c r="F254" s="92"/>
      <c r="G254" s="92"/>
      <c r="H254" s="92"/>
    </row>
    <row r="255" spans="1:10" x14ac:dyDescent="0.25">
      <c r="A255" s="93" t="s">
        <v>27</v>
      </c>
      <c r="B255" s="93"/>
      <c r="C255" s="93"/>
      <c r="D255" s="93"/>
      <c r="E255" s="93"/>
      <c r="F255" s="93"/>
      <c r="G255" s="93"/>
      <c r="H255" s="93"/>
    </row>
    <row r="256" spans="1:10" x14ac:dyDescent="0.25">
      <c r="A256" s="93" t="s">
        <v>28</v>
      </c>
      <c r="B256" s="93"/>
      <c r="C256" s="93"/>
      <c r="D256" s="93"/>
      <c r="E256" s="93"/>
      <c r="F256" s="93"/>
      <c r="G256" s="93"/>
      <c r="H256" s="93"/>
    </row>
    <row r="257" spans="1:8" x14ac:dyDescent="0.25">
      <c r="A257" s="1"/>
      <c r="B257" s="9"/>
      <c r="C257" s="9"/>
      <c r="D257" s="9"/>
      <c r="E257" s="9"/>
      <c r="F257" s="9"/>
      <c r="G257" s="9"/>
      <c r="H257" s="9"/>
    </row>
    <row r="258" spans="1:8" ht="15.75" x14ac:dyDescent="0.25">
      <c r="A258" s="5"/>
    </row>
    <row r="259" spans="1:8" x14ac:dyDescent="0.25">
      <c r="B259" s="13" t="s">
        <v>152</v>
      </c>
      <c r="C259" s="13">
        <v>148115</v>
      </c>
    </row>
    <row r="260" spans="1:8" x14ac:dyDescent="0.25">
      <c r="C260" s="10">
        <f>C259-B253</f>
        <v>15396.199999999983</v>
      </c>
      <c r="D260"/>
      <c r="E260"/>
      <c r="F260"/>
      <c r="G260"/>
      <c r="H260"/>
    </row>
    <row r="261" spans="1:8" x14ac:dyDescent="0.25">
      <c r="D261"/>
      <c r="E261"/>
      <c r="F261"/>
      <c r="G261"/>
      <c r="H261"/>
    </row>
    <row r="262" spans="1:8" x14ac:dyDescent="0.25">
      <c r="D262"/>
      <c r="E262"/>
      <c r="F262"/>
      <c r="G262"/>
      <c r="H262"/>
    </row>
    <row r="263" spans="1:8" x14ac:dyDescent="0.25">
      <c r="D263"/>
      <c r="E263"/>
      <c r="F263"/>
      <c r="G263"/>
      <c r="H263"/>
    </row>
    <row r="264" spans="1:8" x14ac:dyDescent="0.25">
      <c r="D264"/>
      <c r="E264"/>
      <c r="F264"/>
      <c r="G264"/>
      <c r="H264"/>
    </row>
    <row r="265" spans="1:8" x14ac:dyDescent="0.25">
      <c r="A265" s="37"/>
      <c r="B265" s="38"/>
      <c r="C265" s="38"/>
      <c r="D265" s="38"/>
      <c r="E265" s="112" t="s">
        <v>29</v>
      </c>
      <c r="F265" s="112"/>
      <c r="G265" s="112"/>
      <c r="H265" s="112"/>
    </row>
    <row r="266" spans="1:8" x14ac:dyDescent="0.25">
      <c r="A266" s="113"/>
      <c r="B266" s="114"/>
      <c r="C266" s="114"/>
      <c r="D266" s="115"/>
      <c r="E266" s="115" t="s">
        <v>0</v>
      </c>
      <c r="F266" s="115"/>
      <c r="G266" s="115"/>
      <c r="H266" s="115"/>
    </row>
    <row r="267" spans="1:8" x14ac:dyDescent="0.25">
      <c r="A267" s="113"/>
      <c r="B267" s="114"/>
      <c r="C267" s="114"/>
      <c r="D267" s="115"/>
      <c r="E267" s="115" t="s">
        <v>1</v>
      </c>
      <c r="F267" s="115"/>
      <c r="G267" s="115"/>
      <c r="H267" s="115"/>
    </row>
    <row r="268" spans="1:8" ht="15.75" thickBot="1" x14ac:dyDescent="0.3">
      <c r="A268" s="98" t="s">
        <v>153</v>
      </c>
      <c r="B268" s="98"/>
      <c r="C268" s="98"/>
      <c r="D268" s="98"/>
      <c r="E268" s="98"/>
      <c r="F268" s="98"/>
      <c r="G268" s="99"/>
      <c r="H268" s="99"/>
    </row>
    <row r="269" spans="1:8" ht="15.75" thickBot="1" x14ac:dyDescent="0.3">
      <c r="A269" s="100" t="s">
        <v>2</v>
      </c>
      <c r="B269" s="103" t="s">
        <v>30</v>
      </c>
      <c r="C269" s="104"/>
      <c r="D269" s="104"/>
      <c r="E269" s="104"/>
      <c r="F269" s="104"/>
      <c r="G269" s="105" t="s">
        <v>3</v>
      </c>
      <c r="H269" s="106"/>
    </row>
    <row r="270" spans="1:8" ht="105.75" thickBot="1" x14ac:dyDescent="0.3">
      <c r="A270" s="101"/>
      <c r="B270" s="96" t="s">
        <v>30</v>
      </c>
      <c r="C270" s="107"/>
      <c r="D270" s="35" t="s">
        <v>32</v>
      </c>
      <c r="E270" s="107" t="s">
        <v>4</v>
      </c>
      <c r="F270" s="97"/>
      <c r="G270" s="108"/>
      <c r="H270" s="109"/>
    </row>
    <row r="271" spans="1:8" ht="150.75" thickBot="1" x14ac:dyDescent="0.3">
      <c r="A271" s="102"/>
      <c r="B271" s="7" t="s">
        <v>36</v>
      </c>
      <c r="C271" s="7" t="s">
        <v>5</v>
      </c>
      <c r="D271" s="7" t="s">
        <v>33</v>
      </c>
      <c r="E271" s="7" t="s">
        <v>34</v>
      </c>
      <c r="F271" s="7" t="s">
        <v>35</v>
      </c>
      <c r="G271" s="110"/>
      <c r="H271" s="111"/>
    </row>
    <row r="272" spans="1:8" ht="15.75" thickBot="1" x14ac:dyDescent="0.3">
      <c r="A272" s="34">
        <v>1</v>
      </c>
      <c r="B272" s="7">
        <v>2</v>
      </c>
      <c r="C272" s="11">
        <v>3</v>
      </c>
      <c r="D272" s="7">
        <v>4</v>
      </c>
      <c r="E272" s="11">
        <v>5</v>
      </c>
      <c r="F272" s="7">
        <v>6</v>
      </c>
      <c r="G272" s="96" t="s">
        <v>37</v>
      </c>
      <c r="H272" s="97"/>
    </row>
    <row r="273" spans="1:10" ht="60.75" thickBot="1" x14ac:dyDescent="0.3">
      <c r="A273" s="2" t="s">
        <v>7</v>
      </c>
      <c r="B273" s="6">
        <f>B274</f>
        <v>100372.44</v>
      </c>
      <c r="C273" s="12"/>
      <c r="D273" s="6">
        <f>D274</f>
        <v>31696.559999999998</v>
      </c>
      <c r="E273" s="8" t="s">
        <v>8</v>
      </c>
      <c r="F273" s="8" t="s">
        <v>8</v>
      </c>
      <c r="G273" s="90">
        <f>105744+26325</f>
        <v>132069</v>
      </c>
      <c r="H273" s="91"/>
    </row>
    <row r="274" spans="1:10" ht="15.75" thickBot="1" x14ac:dyDescent="0.3">
      <c r="A274" s="3" t="s">
        <v>9</v>
      </c>
      <c r="B274" s="6">
        <f>G274*76%</f>
        <v>100372.44</v>
      </c>
      <c r="C274" s="12"/>
      <c r="D274" s="36">
        <f>G274-B274</f>
        <v>31696.559999999998</v>
      </c>
      <c r="E274" s="8" t="s">
        <v>8</v>
      </c>
      <c r="F274" s="8" t="s">
        <v>8</v>
      </c>
      <c r="G274" s="90">
        <f>G273-G275</f>
        <v>132069</v>
      </c>
      <c r="H274" s="91"/>
    </row>
    <row r="275" spans="1:10" ht="15.75" thickBot="1" x14ac:dyDescent="0.3">
      <c r="A275" s="2" t="s">
        <v>10</v>
      </c>
      <c r="B275" s="6">
        <v>0</v>
      </c>
      <c r="C275" s="12"/>
      <c r="D275" s="6">
        <v>0</v>
      </c>
      <c r="E275" s="8" t="s">
        <v>8</v>
      </c>
      <c r="F275" s="8" t="s">
        <v>8</v>
      </c>
      <c r="G275" s="116"/>
      <c r="H275" s="91"/>
    </row>
    <row r="276" spans="1:10" ht="60.75" thickBot="1" x14ac:dyDescent="0.3">
      <c r="A276" s="2" t="s">
        <v>11</v>
      </c>
      <c r="B276" s="6">
        <f>G276*76%</f>
        <v>32357.760000000002</v>
      </c>
      <c r="C276" s="12"/>
      <c r="D276" s="36">
        <f>G276-B276</f>
        <v>10218.239999999998</v>
      </c>
      <c r="E276" s="8" t="s">
        <v>8</v>
      </c>
      <c r="F276" s="8" t="s">
        <v>8</v>
      </c>
      <c r="G276" s="90">
        <f>36315+6261</f>
        <v>42576</v>
      </c>
      <c r="H276" s="91"/>
    </row>
    <row r="277" spans="1:10" ht="30.75" thickBot="1" x14ac:dyDescent="0.3">
      <c r="A277" s="2" t="s">
        <v>12</v>
      </c>
      <c r="B277" s="6">
        <f>G277*76%</f>
        <v>1854.4</v>
      </c>
      <c r="C277" s="12"/>
      <c r="D277" s="36">
        <f>G277-B277</f>
        <v>585.59999999999991</v>
      </c>
      <c r="E277" s="8" t="s">
        <v>8</v>
      </c>
      <c r="F277" s="8" t="s">
        <v>8</v>
      </c>
      <c r="G277" s="90">
        <v>2440</v>
      </c>
      <c r="H277" s="91"/>
    </row>
    <row r="278" spans="1:10" ht="30.75" thickBot="1" x14ac:dyDescent="0.3">
      <c r="A278" s="2" t="s">
        <v>13</v>
      </c>
      <c r="B278" s="6">
        <f>G278*56%</f>
        <v>0</v>
      </c>
      <c r="C278" s="6"/>
      <c r="D278" s="36">
        <f>G278-B278</f>
        <v>0</v>
      </c>
      <c r="E278" s="8" t="s">
        <v>8</v>
      </c>
      <c r="F278" s="8" t="s">
        <v>8</v>
      </c>
      <c r="G278" s="90">
        <v>0</v>
      </c>
      <c r="H278" s="91"/>
    </row>
    <row r="279" spans="1:10" ht="30.75" thickBot="1" x14ac:dyDescent="0.3">
      <c r="A279" s="2" t="s">
        <v>14</v>
      </c>
      <c r="B279" s="6">
        <f>G279*56%</f>
        <v>9779.84</v>
      </c>
      <c r="C279" s="6"/>
      <c r="D279" s="36">
        <f>G279-B279</f>
        <v>7684.16</v>
      </c>
      <c r="E279" s="8" t="s">
        <v>8</v>
      </c>
      <c r="F279" s="8" t="s">
        <v>8</v>
      </c>
      <c r="G279" s="90">
        <v>17464</v>
      </c>
      <c r="H279" s="91"/>
      <c r="J279" s="10">
        <f>G277+G276+G274</f>
        <v>177085</v>
      </c>
    </row>
    <row r="280" spans="1:10" ht="45.75" thickBot="1" x14ac:dyDescent="0.3">
      <c r="A280" s="2" t="s">
        <v>15</v>
      </c>
      <c r="B280" s="8" t="s">
        <v>8</v>
      </c>
      <c r="C280" s="8" t="s">
        <v>8</v>
      </c>
      <c r="D280" s="6"/>
      <c r="E280" s="8" t="s">
        <v>8</v>
      </c>
      <c r="F280" s="8" t="s">
        <v>8</v>
      </c>
      <c r="G280" s="90"/>
      <c r="H280" s="91"/>
    </row>
    <row r="281" spans="1:10" ht="15.75" thickBot="1" x14ac:dyDescent="0.3">
      <c r="A281" s="2" t="s">
        <v>16</v>
      </c>
      <c r="B281" s="8" t="s">
        <v>8</v>
      </c>
      <c r="C281" s="8" t="s">
        <v>8</v>
      </c>
      <c r="D281" s="12"/>
      <c r="E281" s="6">
        <f>G281</f>
        <v>9000</v>
      </c>
      <c r="F281" s="6"/>
      <c r="G281" s="90">
        <v>9000</v>
      </c>
      <c r="H281" s="91"/>
    </row>
    <row r="282" spans="1:10" ht="15.75" thickBot="1" x14ac:dyDescent="0.3">
      <c r="A282" s="3" t="s">
        <v>17</v>
      </c>
      <c r="B282" s="6">
        <f>G282*56%</f>
        <v>1988.0000000000002</v>
      </c>
      <c r="C282" s="8"/>
      <c r="D282" s="6"/>
      <c r="E282" s="6">
        <f>G282-B282</f>
        <v>1561.9999999999998</v>
      </c>
      <c r="F282" s="6"/>
      <c r="G282" s="90">
        <v>3550</v>
      </c>
      <c r="H282" s="91"/>
    </row>
    <row r="283" spans="1:10" ht="15.75" thickBot="1" x14ac:dyDescent="0.3">
      <c r="A283" s="3" t="s">
        <v>18</v>
      </c>
      <c r="B283" s="6"/>
      <c r="C283" s="8"/>
      <c r="D283" s="8"/>
      <c r="E283" s="6"/>
      <c r="F283" s="6"/>
      <c r="G283" s="90"/>
      <c r="H283" s="91"/>
    </row>
    <row r="284" spans="1:10" ht="45.75" thickBot="1" x14ac:dyDescent="0.3">
      <c r="A284" s="2" t="s">
        <v>19</v>
      </c>
      <c r="B284" s="6"/>
      <c r="C284" s="8"/>
      <c r="D284" s="6"/>
      <c r="E284" s="6"/>
      <c r="F284" s="6"/>
      <c r="G284" s="94"/>
      <c r="H284" s="95"/>
    </row>
    <row r="285" spans="1:10" ht="45.75" thickBot="1" x14ac:dyDescent="0.3">
      <c r="A285" s="2" t="s">
        <v>20</v>
      </c>
      <c r="B285" s="6">
        <f>G285*56%</f>
        <v>229.04000000000002</v>
      </c>
      <c r="C285" s="8"/>
      <c r="D285" s="6"/>
      <c r="E285" s="6">
        <f>G285-B285</f>
        <v>179.95999999999998</v>
      </c>
      <c r="F285" s="6"/>
      <c r="G285" s="90">
        <v>409</v>
      </c>
      <c r="H285" s="91"/>
    </row>
    <row r="286" spans="1:10" ht="30.75" thickBot="1" x14ac:dyDescent="0.3">
      <c r="A286" s="2" t="s">
        <v>21</v>
      </c>
      <c r="B286" s="6">
        <f>G286*56%</f>
        <v>5151.4400000000005</v>
      </c>
      <c r="C286" s="6"/>
      <c r="D286" s="36">
        <f>G286-B286</f>
        <v>4047.5599999999995</v>
      </c>
      <c r="E286" s="8" t="s">
        <v>8</v>
      </c>
      <c r="F286" s="8" t="s">
        <v>8</v>
      </c>
      <c r="G286" s="90">
        <f>21252-9000-3550+497</f>
        <v>9199</v>
      </c>
      <c r="H286" s="91"/>
    </row>
    <row r="287" spans="1:10" ht="15.75" thickBot="1" x14ac:dyDescent="0.3">
      <c r="A287" s="3" t="s">
        <v>22</v>
      </c>
      <c r="B287" s="6">
        <f>G287*56%</f>
        <v>250.32000000000002</v>
      </c>
      <c r="C287" s="6"/>
      <c r="D287" s="36">
        <f>G287-B287</f>
        <v>196.67999999999998</v>
      </c>
      <c r="E287" s="8" t="s">
        <v>8</v>
      </c>
      <c r="F287" s="8" t="s">
        <v>8</v>
      </c>
      <c r="G287" s="90">
        <v>447</v>
      </c>
      <c r="H287" s="91"/>
    </row>
    <row r="288" spans="1:10" ht="15.75" thickBot="1" x14ac:dyDescent="0.3">
      <c r="A288" s="3" t="s">
        <v>23</v>
      </c>
      <c r="B288" s="8" t="s">
        <v>8</v>
      </c>
      <c r="C288" s="12"/>
      <c r="D288" s="8" t="s">
        <v>8</v>
      </c>
      <c r="E288" s="8" t="s">
        <v>8</v>
      </c>
      <c r="F288" s="8" t="s">
        <v>8</v>
      </c>
      <c r="G288" s="94"/>
      <c r="H288" s="95"/>
    </row>
    <row r="289" spans="1:10" ht="15.75" thickBot="1" x14ac:dyDescent="0.3">
      <c r="A289" s="3" t="s">
        <v>24</v>
      </c>
      <c r="B289" s="6">
        <f>G289*56%</f>
        <v>0</v>
      </c>
      <c r="C289" s="6"/>
      <c r="D289" s="6"/>
      <c r="E289" s="8" t="s">
        <v>8</v>
      </c>
      <c r="F289" s="8" t="s">
        <v>8</v>
      </c>
      <c r="G289" s="90"/>
      <c r="H289" s="91"/>
      <c r="J289" s="10">
        <f>G285-307</f>
        <v>102</v>
      </c>
    </row>
    <row r="290" spans="1:10" ht="15.75" thickBot="1" x14ac:dyDescent="0.3">
      <c r="A290" s="4" t="s">
        <v>25</v>
      </c>
      <c r="B290" s="6">
        <f>SUM(B274:B289)</f>
        <v>151983.24000000002</v>
      </c>
      <c r="C290" s="6"/>
      <c r="D290" s="6">
        <f>SUM(D274:D289)</f>
        <v>54428.799999999996</v>
      </c>
      <c r="E290" s="6">
        <f>SUM(E274:E289)</f>
        <v>10741.96</v>
      </c>
      <c r="F290" s="6"/>
      <c r="G290" s="90">
        <f>SUM(G274:H289)</f>
        <v>217154</v>
      </c>
      <c r="H290" s="91"/>
      <c r="J290" s="10">
        <f>G290-217051</f>
        <v>103</v>
      </c>
    </row>
    <row r="291" spans="1:10" x14ac:dyDescent="0.25">
      <c r="A291" s="92" t="s">
        <v>26</v>
      </c>
      <c r="B291" s="92"/>
      <c r="C291" s="92"/>
      <c r="D291" s="92"/>
      <c r="E291" s="92"/>
      <c r="F291" s="92"/>
      <c r="G291" s="92"/>
      <c r="H291" s="92"/>
    </row>
    <row r="292" spans="1:10" x14ac:dyDescent="0.25">
      <c r="A292" s="93" t="s">
        <v>27</v>
      </c>
      <c r="B292" s="93"/>
      <c r="C292" s="93"/>
      <c r="D292" s="93"/>
      <c r="E292" s="93"/>
      <c r="F292" s="93"/>
      <c r="G292" s="93"/>
      <c r="H292" s="93"/>
    </row>
    <row r="293" spans="1:10" x14ac:dyDescent="0.25">
      <c r="A293" s="93" t="s">
        <v>28</v>
      </c>
      <c r="B293" s="93"/>
      <c r="C293" s="93"/>
      <c r="D293" s="93"/>
      <c r="E293" s="93"/>
      <c r="F293" s="93"/>
      <c r="G293" s="93"/>
      <c r="H293" s="93"/>
    </row>
    <row r="294" spans="1:10" x14ac:dyDescent="0.25">
      <c r="A294" s="1"/>
      <c r="B294" s="9"/>
      <c r="C294" s="9"/>
      <c r="D294" s="9"/>
      <c r="E294" s="9"/>
      <c r="F294" s="9"/>
      <c r="G294" s="9"/>
      <c r="H294" s="9"/>
    </row>
    <row r="295" spans="1:10" ht="15.75" x14ac:dyDescent="0.25">
      <c r="A295" s="5"/>
    </row>
    <row r="296" spans="1:10" x14ac:dyDescent="0.25">
      <c r="B296" s="13" t="s">
        <v>154</v>
      </c>
      <c r="C296" s="13">
        <v>217558</v>
      </c>
    </row>
    <row r="297" spans="1:10" x14ac:dyDescent="0.25">
      <c r="C297" s="10">
        <f>C296-B290</f>
        <v>65574.75999999998</v>
      </c>
      <c r="D297"/>
      <c r="E297"/>
      <c r="F297"/>
      <c r="G297"/>
      <c r="H297"/>
    </row>
    <row r="298" spans="1:10" x14ac:dyDescent="0.25">
      <c r="D298"/>
      <c r="E298"/>
      <c r="F298"/>
      <c r="G298"/>
      <c r="H298"/>
    </row>
    <row r="299" spans="1:10" x14ac:dyDescent="0.25">
      <c r="A299" s="37"/>
      <c r="B299" s="38"/>
      <c r="C299" s="38"/>
      <c r="D299" s="38"/>
      <c r="E299" s="112" t="s">
        <v>29</v>
      </c>
      <c r="F299" s="112"/>
      <c r="G299" s="112"/>
      <c r="H299" s="112"/>
    </row>
    <row r="300" spans="1:10" x14ac:dyDescent="0.25">
      <c r="A300" s="113"/>
      <c r="B300" s="114"/>
      <c r="C300" s="114"/>
      <c r="D300" s="115"/>
      <c r="E300" s="115" t="s">
        <v>0</v>
      </c>
      <c r="F300" s="115"/>
      <c r="G300" s="115"/>
      <c r="H300" s="115"/>
    </row>
    <row r="301" spans="1:10" x14ac:dyDescent="0.25">
      <c r="A301" s="113"/>
      <c r="B301" s="114"/>
      <c r="C301" s="114"/>
      <c r="D301" s="115"/>
      <c r="E301" s="115" t="s">
        <v>1</v>
      </c>
      <c r="F301" s="115"/>
      <c r="G301" s="115"/>
      <c r="H301" s="115"/>
    </row>
    <row r="302" spans="1:10" ht="15.75" thickBot="1" x14ac:dyDescent="0.3">
      <c r="A302" s="98" t="s">
        <v>155</v>
      </c>
      <c r="B302" s="98"/>
      <c r="C302" s="98"/>
      <c r="D302" s="98"/>
      <c r="E302" s="98"/>
      <c r="F302" s="98"/>
      <c r="G302" s="99"/>
      <c r="H302" s="99"/>
    </row>
    <row r="303" spans="1:10" ht="15.75" thickBot="1" x14ac:dyDescent="0.3">
      <c r="A303" s="100" t="s">
        <v>2</v>
      </c>
      <c r="B303" s="103" t="s">
        <v>30</v>
      </c>
      <c r="C303" s="104"/>
      <c r="D303" s="104"/>
      <c r="E303" s="104"/>
      <c r="F303" s="104"/>
      <c r="G303" s="105" t="s">
        <v>3</v>
      </c>
      <c r="H303" s="106"/>
    </row>
    <row r="304" spans="1:10" ht="105.75" thickBot="1" x14ac:dyDescent="0.3">
      <c r="A304" s="101"/>
      <c r="B304" s="96" t="s">
        <v>30</v>
      </c>
      <c r="C304" s="107"/>
      <c r="D304" s="35" t="s">
        <v>32</v>
      </c>
      <c r="E304" s="107" t="s">
        <v>4</v>
      </c>
      <c r="F304" s="97"/>
      <c r="G304" s="108"/>
      <c r="H304" s="109"/>
    </row>
    <row r="305" spans="1:10" ht="150.75" thickBot="1" x14ac:dyDescent="0.3">
      <c r="A305" s="102"/>
      <c r="B305" s="7" t="s">
        <v>36</v>
      </c>
      <c r="C305" s="7" t="s">
        <v>5</v>
      </c>
      <c r="D305" s="7" t="s">
        <v>33</v>
      </c>
      <c r="E305" s="7" t="s">
        <v>34</v>
      </c>
      <c r="F305" s="7" t="s">
        <v>35</v>
      </c>
      <c r="G305" s="110"/>
      <c r="H305" s="111"/>
    </row>
    <row r="306" spans="1:10" ht="15.75" thickBot="1" x14ac:dyDescent="0.3">
      <c r="A306" s="34">
        <v>1</v>
      </c>
      <c r="B306" s="7">
        <v>2</v>
      </c>
      <c r="C306" s="11">
        <v>3</v>
      </c>
      <c r="D306" s="7">
        <v>4</v>
      </c>
      <c r="E306" s="11">
        <v>5</v>
      </c>
      <c r="F306" s="7">
        <v>6</v>
      </c>
      <c r="G306" s="96" t="s">
        <v>37</v>
      </c>
      <c r="H306" s="97"/>
    </row>
    <row r="307" spans="1:10" ht="60.75" thickBot="1" x14ac:dyDescent="0.3">
      <c r="A307" s="2" t="s">
        <v>7</v>
      </c>
      <c r="B307" s="6">
        <f>B308</f>
        <v>114639.92</v>
      </c>
      <c r="C307" s="12"/>
      <c r="D307" s="6">
        <f>D308</f>
        <v>36202.080000000002</v>
      </c>
      <c r="E307" s="8" t="s">
        <v>8</v>
      </c>
      <c r="F307" s="8" t="s">
        <v>8</v>
      </c>
      <c r="G307" s="90">
        <f>120812+30030</f>
        <v>150842</v>
      </c>
      <c r="H307" s="91"/>
    </row>
    <row r="308" spans="1:10" ht="15.75" thickBot="1" x14ac:dyDescent="0.3">
      <c r="A308" s="3" t="s">
        <v>9</v>
      </c>
      <c r="B308" s="6">
        <f>G308*76%</f>
        <v>114639.92</v>
      </c>
      <c r="C308" s="12"/>
      <c r="D308" s="36">
        <f>G308-B308</f>
        <v>36202.080000000002</v>
      </c>
      <c r="E308" s="8" t="s">
        <v>8</v>
      </c>
      <c r="F308" s="8" t="s">
        <v>8</v>
      </c>
      <c r="G308" s="90">
        <f>G307-G309</f>
        <v>150842</v>
      </c>
      <c r="H308" s="91"/>
    </row>
    <row r="309" spans="1:10" ht="15.75" thickBot="1" x14ac:dyDescent="0.3">
      <c r="A309" s="2" t="s">
        <v>10</v>
      </c>
      <c r="B309" s="6">
        <v>0</v>
      </c>
      <c r="C309" s="12"/>
      <c r="D309" s="6">
        <v>0</v>
      </c>
      <c r="E309" s="8" t="s">
        <v>8</v>
      </c>
      <c r="F309" s="8" t="s">
        <v>8</v>
      </c>
      <c r="G309" s="116"/>
      <c r="H309" s="91"/>
    </row>
    <row r="310" spans="1:10" ht="60.75" thickBot="1" x14ac:dyDescent="0.3">
      <c r="A310" s="2" t="s">
        <v>11</v>
      </c>
      <c r="B310" s="6">
        <f>G310*76%</f>
        <v>36312.800000000003</v>
      </c>
      <c r="C310" s="12"/>
      <c r="D310" s="36">
        <f>G310-B310</f>
        <v>11467.199999999997</v>
      </c>
      <c r="E310" s="8" t="s">
        <v>8</v>
      </c>
      <c r="F310" s="8" t="s">
        <v>8</v>
      </c>
      <c r="G310" s="90">
        <f>40722+7058</f>
        <v>47780</v>
      </c>
      <c r="H310" s="91"/>
    </row>
    <row r="311" spans="1:10" ht="30.75" thickBot="1" x14ac:dyDescent="0.3">
      <c r="A311" s="2" t="s">
        <v>12</v>
      </c>
      <c r="B311" s="6">
        <f>G311*76%</f>
        <v>2089.2400000000002</v>
      </c>
      <c r="C311" s="12"/>
      <c r="D311" s="36">
        <f>G311-B311</f>
        <v>659.75999999999976</v>
      </c>
      <c r="E311" s="8" t="s">
        <v>8</v>
      </c>
      <c r="F311" s="8" t="s">
        <v>8</v>
      </c>
      <c r="G311" s="90">
        <v>2749</v>
      </c>
      <c r="H311" s="91"/>
    </row>
    <row r="312" spans="1:10" ht="30.75" thickBot="1" x14ac:dyDescent="0.3">
      <c r="A312" s="2" t="s">
        <v>13</v>
      </c>
      <c r="B312" s="6">
        <f>G312*56%</f>
        <v>0</v>
      </c>
      <c r="C312" s="6"/>
      <c r="D312" s="36">
        <f>G312-B312</f>
        <v>0</v>
      </c>
      <c r="E312" s="8" t="s">
        <v>8</v>
      </c>
      <c r="F312" s="8" t="s">
        <v>8</v>
      </c>
      <c r="G312" s="90">
        <v>0</v>
      </c>
      <c r="H312" s="91"/>
    </row>
    <row r="313" spans="1:10" ht="30.75" thickBot="1" x14ac:dyDescent="0.3">
      <c r="A313" s="2" t="s">
        <v>14</v>
      </c>
      <c r="B313" s="6">
        <f>G313*56%</f>
        <v>11183.76</v>
      </c>
      <c r="C313" s="6"/>
      <c r="D313" s="36">
        <f>G313-B313</f>
        <v>8787.24</v>
      </c>
      <c r="E313" s="8" t="s">
        <v>8</v>
      </c>
      <c r="F313" s="8" t="s">
        <v>8</v>
      </c>
      <c r="G313" s="90">
        <v>19971</v>
      </c>
      <c r="H313" s="91"/>
      <c r="J313" s="10">
        <f>G311+G310+G308</f>
        <v>201371</v>
      </c>
    </row>
    <row r="314" spans="1:10" ht="45.75" thickBot="1" x14ac:dyDescent="0.3">
      <c r="A314" s="2" t="s">
        <v>15</v>
      </c>
      <c r="B314" s="8" t="s">
        <v>8</v>
      </c>
      <c r="C314" s="8" t="s">
        <v>8</v>
      </c>
      <c r="D314" s="6"/>
      <c r="E314" s="8" t="s">
        <v>8</v>
      </c>
      <c r="F314" s="8" t="s">
        <v>8</v>
      </c>
      <c r="G314" s="90"/>
      <c r="H314" s="91"/>
    </row>
    <row r="315" spans="1:10" ht="15.75" thickBot="1" x14ac:dyDescent="0.3">
      <c r="A315" s="2" t="s">
        <v>16</v>
      </c>
      <c r="B315" s="8" t="s">
        <v>8</v>
      </c>
      <c r="C315" s="8" t="s">
        <v>8</v>
      </c>
      <c r="D315" s="12"/>
      <c r="E315" s="6">
        <f>G315</f>
        <v>9000</v>
      </c>
      <c r="F315" s="6"/>
      <c r="G315" s="90">
        <v>9000</v>
      </c>
      <c r="H315" s="91"/>
    </row>
    <row r="316" spans="1:10" ht="15.75" thickBot="1" x14ac:dyDescent="0.3">
      <c r="A316" s="3" t="s">
        <v>17</v>
      </c>
      <c r="B316" s="6">
        <f>G316*56%</f>
        <v>1988.0000000000002</v>
      </c>
      <c r="C316" s="8"/>
      <c r="D316" s="6"/>
      <c r="E316" s="6">
        <f>G316-B316</f>
        <v>1561.9999999999998</v>
      </c>
      <c r="F316" s="6"/>
      <c r="G316" s="90">
        <v>3550</v>
      </c>
      <c r="H316" s="91"/>
    </row>
    <row r="317" spans="1:10" ht="15.75" thickBot="1" x14ac:dyDescent="0.3">
      <c r="A317" s="3" t="s">
        <v>18</v>
      </c>
      <c r="B317" s="6"/>
      <c r="C317" s="8"/>
      <c r="D317" s="8"/>
      <c r="E317" s="6"/>
      <c r="F317" s="6"/>
      <c r="G317" s="90"/>
      <c r="H317" s="91"/>
    </row>
    <row r="318" spans="1:10" ht="45.75" thickBot="1" x14ac:dyDescent="0.3">
      <c r="A318" s="2" t="s">
        <v>19</v>
      </c>
      <c r="B318" s="6"/>
      <c r="C318" s="8"/>
      <c r="D318" s="6"/>
      <c r="E318" s="6"/>
      <c r="F318" s="6"/>
      <c r="G318" s="94"/>
      <c r="H318" s="95"/>
    </row>
    <row r="319" spans="1:10" ht="45.75" thickBot="1" x14ac:dyDescent="0.3">
      <c r="A319" s="2" t="s">
        <v>20</v>
      </c>
      <c r="B319" s="6">
        <f>G319*56%</f>
        <v>277.76000000000005</v>
      </c>
      <c r="C319" s="8"/>
      <c r="D319" s="6"/>
      <c r="E319" s="6">
        <f>G319-B319</f>
        <v>218.23999999999995</v>
      </c>
      <c r="F319" s="6"/>
      <c r="G319" s="90">
        <v>496</v>
      </c>
      <c r="H319" s="91"/>
    </row>
    <row r="320" spans="1:10" ht="30.75" thickBot="1" x14ac:dyDescent="0.3">
      <c r="A320" s="2" t="s">
        <v>21</v>
      </c>
      <c r="B320" s="6">
        <f>G320*56%</f>
        <v>9663.92</v>
      </c>
      <c r="C320" s="6"/>
      <c r="D320" s="36">
        <f>G320-B320</f>
        <v>7593.08</v>
      </c>
      <c r="E320" s="8" t="s">
        <v>8</v>
      </c>
      <c r="F320" s="8" t="s">
        <v>8</v>
      </c>
      <c r="G320" s="90">
        <f>29038-9000-3550+769</f>
        <v>17257</v>
      </c>
      <c r="H320" s="91"/>
    </row>
    <row r="321" spans="1:10" ht="15.75" thickBot="1" x14ac:dyDescent="0.3">
      <c r="A321" s="3" t="s">
        <v>22</v>
      </c>
      <c r="B321" s="6">
        <f>G321*56%</f>
        <v>271.04000000000002</v>
      </c>
      <c r="C321" s="6"/>
      <c r="D321" s="36">
        <f>G321-B321</f>
        <v>212.95999999999998</v>
      </c>
      <c r="E321" s="8" t="s">
        <v>8</v>
      </c>
      <c r="F321" s="8" t="s">
        <v>8</v>
      </c>
      <c r="G321" s="90">
        <v>484</v>
      </c>
      <c r="H321" s="91"/>
    </row>
    <row r="322" spans="1:10" ht="15.75" thickBot="1" x14ac:dyDescent="0.3">
      <c r="A322" s="3" t="s">
        <v>23</v>
      </c>
      <c r="B322" s="8" t="s">
        <v>8</v>
      </c>
      <c r="C322" s="12"/>
      <c r="D322" s="8" t="s">
        <v>8</v>
      </c>
      <c r="E322" s="8" t="s">
        <v>8</v>
      </c>
      <c r="F322" s="8" t="s">
        <v>8</v>
      </c>
      <c r="G322" s="94"/>
      <c r="H322" s="95"/>
    </row>
    <row r="323" spans="1:10" ht="15.75" thickBot="1" x14ac:dyDescent="0.3">
      <c r="A323" s="3" t="s">
        <v>24</v>
      </c>
      <c r="B323" s="6">
        <f>G323*56%</f>
        <v>0</v>
      </c>
      <c r="C323" s="6"/>
      <c r="D323" s="6"/>
      <c r="E323" s="8" t="s">
        <v>8</v>
      </c>
      <c r="F323" s="8" t="s">
        <v>8</v>
      </c>
      <c r="G323" s="90"/>
      <c r="H323" s="91"/>
      <c r="J323" s="10">
        <f>G319-307</f>
        <v>189</v>
      </c>
    </row>
    <row r="324" spans="1:10" ht="15.75" thickBot="1" x14ac:dyDescent="0.3">
      <c r="A324" s="4" t="s">
        <v>25</v>
      </c>
      <c r="B324" s="6">
        <f>SUM(B308:B323)</f>
        <v>176426.44000000003</v>
      </c>
      <c r="C324" s="6"/>
      <c r="D324" s="6">
        <f>SUM(D308:D323)</f>
        <v>64922.32</v>
      </c>
      <c r="E324" s="6">
        <f>SUM(E308:E323)</f>
        <v>10780.24</v>
      </c>
      <c r="F324" s="6"/>
      <c r="G324" s="90">
        <f>SUM(G308:H323)</f>
        <v>252129</v>
      </c>
      <c r="H324" s="91"/>
      <c r="J324" s="10">
        <f>G324-251939</f>
        <v>190</v>
      </c>
    </row>
    <row r="325" spans="1:10" x14ac:dyDescent="0.25">
      <c r="A325" s="92" t="s">
        <v>26</v>
      </c>
      <c r="B325" s="92"/>
      <c r="C325" s="92"/>
      <c r="D325" s="92"/>
      <c r="E325" s="92"/>
      <c r="F325" s="92"/>
      <c r="G325" s="92"/>
      <c r="H325" s="92"/>
    </row>
    <row r="326" spans="1:10" x14ac:dyDescent="0.25">
      <c r="A326" s="93" t="s">
        <v>27</v>
      </c>
      <c r="B326" s="93"/>
      <c r="C326" s="93"/>
      <c r="D326" s="93"/>
      <c r="E326" s="93"/>
      <c r="F326" s="93"/>
      <c r="G326" s="93"/>
      <c r="H326" s="93"/>
    </row>
    <row r="327" spans="1:10" x14ac:dyDescent="0.25">
      <c r="A327" s="93" t="s">
        <v>28</v>
      </c>
      <c r="B327" s="93"/>
      <c r="C327" s="93"/>
      <c r="D327" s="93"/>
      <c r="E327" s="93"/>
      <c r="F327" s="93"/>
      <c r="G327" s="93"/>
      <c r="H327" s="93"/>
    </row>
    <row r="328" spans="1:10" x14ac:dyDescent="0.25">
      <c r="A328" s="1"/>
      <c r="B328" s="9"/>
      <c r="C328" s="9"/>
      <c r="D328" s="9"/>
      <c r="E328" s="9"/>
      <c r="F328" s="9"/>
      <c r="G328" s="9"/>
      <c r="H328" s="9"/>
    </row>
    <row r="329" spans="1:10" ht="15.75" x14ac:dyDescent="0.25">
      <c r="A329" s="5"/>
    </row>
    <row r="330" spans="1:10" x14ac:dyDescent="0.25">
      <c r="B330" s="13" t="s">
        <v>156</v>
      </c>
      <c r="C330" s="13">
        <v>250305</v>
      </c>
    </row>
    <row r="331" spans="1:10" x14ac:dyDescent="0.25">
      <c r="C331" s="10">
        <f>C330-B324</f>
        <v>73878.559999999969</v>
      </c>
      <c r="D331"/>
      <c r="E331"/>
      <c r="F331"/>
      <c r="G331"/>
      <c r="H331"/>
    </row>
    <row r="332" spans="1:10" x14ac:dyDescent="0.25">
      <c r="D332"/>
      <c r="E332"/>
      <c r="F332"/>
      <c r="G332"/>
      <c r="H332"/>
    </row>
    <row r="333" spans="1:10" x14ac:dyDescent="0.25">
      <c r="D333"/>
      <c r="E333"/>
      <c r="F333"/>
      <c r="G333"/>
      <c r="H333"/>
    </row>
    <row r="334" spans="1:10" x14ac:dyDescent="0.25">
      <c r="D334"/>
      <c r="E334"/>
      <c r="F334"/>
      <c r="G334"/>
      <c r="H334"/>
    </row>
    <row r="335" spans="1:10" x14ac:dyDescent="0.25">
      <c r="D335"/>
      <c r="E335"/>
      <c r="F335"/>
      <c r="G335"/>
      <c r="H335"/>
    </row>
    <row r="336" spans="1:10" x14ac:dyDescent="0.25">
      <c r="D336"/>
      <c r="E336"/>
      <c r="F336"/>
      <c r="G336"/>
      <c r="H336"/>
    </row>
    <row r="337" spans="1:11" x14ac:dyDescent="0.25">
      <c r="A337" s="42"/>
      <c r="B337" s="43"/>
      <c r="C337" s="43"/>
      <c r="D337" s="43"/>
      <c r="E337" s="112" t="s">
        <v>29</v>
      </c>
      <c r="F337" s="112"/>
      <c r="G337" s="112"/>
      <c r="H337" s="112"/>
    </row>
    <row r="338" spans="1:11" x14ac:dyDescent="0.25">
      <c r="A338" s="113"/>
      <c r="B338" s="114"/>
      <c r="C338" s="114"/>
      <c r="D338" s="115"/>
      <c r="E338" s="115" t="s">
        <v>0</v>
      </c>
      <c r="F338" s="115"/>
      <c r="G338" s="115"/>
      <c r="H338" s="115"/>
    </row>
    <row r="339" spans="1:11" x14ac:dyDescent="0.25">
      <c r="A339" s="113"/>
      <c r="B339" s="114"/>
      <c r="C339" s="114"/>
      <c r="D339" s="115"/>
      <c r="E339" s="115" t="s">
        <v>1</v>
      </c>
      <c r="F339" s="115"/>
      <c r="G339" s="115"/>
      <c r="H339" s="115"/>
    </row>
    <row r="340" spans="1:11" ht="15.75" thickBot="1" x14ac:dyDescent="0.3">
      <c r="A340" s="98" t="s">
        <v>157</v>
      </c>
      <c r="B340" s="98"/>
      <c r="C340" s="98"/>
      <c r="D340" s="98"/>
      <c r="E340" s="98"/>
      <c r="F340" s="98"/>
      <c r="G340" s="99"/>
      <c r="H340" s="99"/>
    </row>
    <row r="341" spans="1:11" ht="15.75" thickBot="1" x14ac:dyDescent="0.3">
      <c r="A341" s="100" t="s">
        <v>2</v>
      </c>
      <c r="B341" s="103" t="s">
        <v>30</v>
      </c>
      <c r="C341" s="104"/>
      <c r="D341" s="104"/>
      <c r="E341" s="104"/>
      <c r="F341" s="104"/>
      <c r="G341" s="105" t="s">
        <v>3</v>
      </c>
      <c r="H341" s="106"/>
    </row>
    <row r="342" spans="1:11" ht="105.75" thickBot="1" x14ac:dyDescent="0.3">
      <c r="A342" s="101"/>
      <c r="B342" s="96" t="s">
        <v>30</v>
      </c>
      <c r="C342" s="107"/>
      <c r="D342" s="40" t="s">
        <v>32</v>
      </c>
      <c r="E342" s="107" t="s">
        <v>4</v>
      </c>
      <c r="F342" s="97"/>
      <c r="G342" s="108"/>
      <c r="H342" s="109"/>
    </row>
    <row r="343" spans="1:11" ht="150.75" thickBot="1" x14ac:dyDescent="0.3">
      <c r="A343" s="102"/>
      <c r="B343" s="7" t="s">
        <v>36</v>
      </c>
      <c r="C343" s="7" t="s">
        <v>5</v>
      </c>
      <c r="D343" s="7" t="s">
        <v>33</v>
      </c>
      <c r="E343" s="7" t="s">
        <v>34</v>
      </c>
      <c r="F343" s="7" t="s">
        <v>35</v>
      </c>
      <c r="G343" s="110"/>
      <c r="H343" s="111"/>
    </row>
    <row r="344" spans="1:11" ht="15.75" thickBot="1" x14ac:dyDescent="0.3">
      <c r="A344" s="39">
        <v>1</v>
      </c>
      <c r="B344" s="7">
        <v>2</v>
      </c>
      <c r="C344" s="11">
        <v>3</v>
      </c>
      <c r="D344" s="7">
        <v>4</v>
      </c>
      <c r="E344" s="11">
        <v>5</v>
      </c>
      <c r="F344" s="7">
        <v>6</v>
      </c>
      <c r="G344" s="96" t="s">
        <v>37</v>
      </c>
      <c r="H344" s="97"/>
    </row>
    <row r="345" spans="1:11" ht="60.75" thickBot="1" x14ac:dyDescent="0.3">
      <c r="A345" s="2" t="s">
        <v>7</v>
      </c>
      <c r="B345" s="6">
        <f>B346</f>
        <v>132278.76</v>
      </c>
      <c r="C345" s="12"/>
      <c r="D345" s="6">
        <f>D346</f>
        <v>41772.239999999991</v>
      </c>
      <c r="E345" s="8" t="s">
        <v>8</v>
      </c>
      <c r="F345" s="8" t="s">
        <v>8</v>
      </c>
      <c r="G345" s="90">
        <f>175047-996</f>
        <v>174051</v>
      </c>
      <c r="H345" s="91"/>
    </row>
    <row r="346" spans="1:11" ht="15.75" thickBot="1" x14ac:dyDescent="0.3">
      <c r="A346" s="3" t="s">
        <v>9</v>
      </c>
      <c r="B346" s="6">
        <f>G346*76%</f>
        <v>132278.76</v>
      </c>
      <c r="C346" s="12"/>
      <c r="D346" s="41">
        <f>G346-B346</f>
        <v>41772.239999999991</v>
      </c>
      <c r="E346" s="8" t="s">
        <v>8</v>
      </c>
      <c r="F346" s="8" t="s">
        <v>8</v>
      </c>
      <c r="G346" s="90">
        <f>G345-G347</f>
        <v>174051</v>
      </c>
      <c r="H346" s="91"/>
    </row>
    <row r="347" spans="1:11" ht="15.75" thickBot="1" x14ac:dyDescent="0.3">
      <c r="A347" s="2" t="s">
        <v>10</v>
      </c>
      <c r="B347" s="6">
        <v>0</v>
      </c>
      <c r="C347" s="12"/>
      <c r="D347" s="6">
        <v>0</v>
      </c>
      <c r="E347" s="8" t="s">
        <v>8</v>
      </c>
      <c r="F347" s="8" t="s">
        <v>8</v>
      </c>
      <c r="G347" s="116"/>
      <c r="H347" s="91"/>
    </row>
    <row r="348" spans="1:11" ht="60.75" thickBot="1" x14ac:dyDescent="0.3">
      <c r="A348" s="2" t="s">
        <v>11</v>
      </c>
      <c r="B348" s="6">
        <f>G348*76%</f>
        <v>41816.720000000001</v>
      </c>
      <c r="C348" s="12"/>
      <c r="D348" s="41">
        <f>G348-B348</f>
        <v>13205.279999999999</v>
      </c>
      <c r="E348" s="8" t="s">
        <v>8</v>
      </c>
      <c r="F348" s="8" t="s">
        <v>8</v>
      </c>
      <c r="G348" s="90">
        <f>55583-561</f>
        <v>55022</v>
      </c>
      <c r="H348" s="91"/>
    </row>
    <row r="349" spans="1:11" ht="30.75" thickBot="1" x14ac:dyDescent="0.3">
      <c r="A349" s="2" t="s">
        <v>12</v>
      </c>
      <c r="B349" s="6">
        <f>G349*76%</f>
        <v>1183.32</v>
      </c>
      <c r="C349" s="12"/>
      <c r="D349" s="41">
        <f>G349-B349</f>
        <v>373.68000000000006</v>
      </c>
      <c r="E349" s="8" t="s">
        <v>8</v>
      </c>
      <c r="F349" s="8" t="s">
        <v>8</v>
      </c>
      <c r="G349" s="90">
        <f>996+561</f>
        <v>1557</v>
      </c>
      <c r="H349" s="91"/>
    </row>
    <row r="350" spans="1:11" ht="30.75" thickBot="1" x14ac:dyDescent="0.3">
      <c r="A350" s="2" t="s">
        <v>13</v>
      </c>
      <c r="B350" s="6">
        <f>G350*56%</f>
        <v>0</v>
      </c>
      <c r="C350" s="6"/>
      <c r="D350" s="41">
        <f>G350-B350</f>
        <v>0</v>
      </c>
      <c r="E350" s="8" t="s">
        <v>8</v>
      </c>
      <c r="F350" s="8" t="s">
        <v>8</v>
      </c>
      <c r="G350" s="90">
        <v>0</v>
      </c>
      <c r="H350" s="91"/>
    </row>
    <row r="351" spans="1:11" ht="30.75" thickBot="1" x14ac:dyDescent="0.3">
      <c r="A351" s="2" t="s">
        <v>14</v>
      </c>
      <c r="B351" s="6">
        <f>G351*56%</f>
        <v>12985.840000000002</v>
      </c>
      <c r="C351" s="6"/>
      <c r="D351" s="41">
        <f>G351-B351</f>
        <v>10203.159999999998</v>
      </c>
      <c r="E351" s="8" t="s">
        <v>8</v>
      </c>
      <c r="F351" s="8" t="s">
        <v>8</v>
      </c>
      <c r="G351" s="90">
        <v>23189</v>
      </c>
      <c r="H351" s="91"/>
      <c r="J351" s="10">
        <f>G349+G348+G346</f>
        <v>230630</v>
      </c>
      <c r="K351" s="10">
        <f>230630-J351</f>
        <v>0</v>
      </c>
    </row>
    <row r="352" spans="1:11" ht="45.75" thickBot="1" x14ac:dyDescent="0.3">
      <c r="A352" s="2" t="s">
        <v>15</v>
      </c>
      <c r="B352" s="8" t="s">
        <v>8</v>
      </c>
      <c r="C352" s="8" t="s">
        <v>8</v>
      </c>
      <c r="D352" s="6"/>
      <c r="E352" s="8" t="s">
        <v>8</v>
      </c>
      <c r="F352" s="8" t="s">
        <v>8</v>
      </c>
      <c r="G352" s="90"/>
      <c r="H352" s="91"/>
    </row>
    <row r="353" spans="1:10" ht="15.75" thickBot="1" x14ac:dyDescent="0.3">
      <c r="A353" s="2" t="s">
        <v>16</v>
      </c>
      <c r="B353" s="8" t="s">
        <v>8</v>
      </c>
      <c r="C353" s="8" t="s">
        <v>8</v>
      </c>
      <c r="D353" s="12"/>
      <c r="E353" s="6">
        <f>G353</f>
        <v>18000</v>
      </c>
      <c r="F353" s="6"/>
      <c r="G353" s="90">
        <v>18000</v>
      </c>
      <c r="H353" s="91"/>
    </row>
    <row r="354" spans="1:10" ht="15.75" thickBot="1" x14ac:dyDescent="0.3">
      <c r="A354" s="3" t="s">
        <v>17</v>
      </c>
      <c r="B354" s="6">
        <f>G354*56%</f>
        <v>1988.0000000000002</v>
      </c>
      <c r="C354" s="8"/>
      <c r="D354" s="6"/>
      <c r="E354" s="6">
        <f>G354-B354</f>
        <v>1561.9999999999998</v>
      </c>
      <c r="F354" s="6"/>
      <c r="G354" s="90">
        <v>3550</v>
      </c>
      <c r="H354" s="91"/>
    </row>
    <row r="355" spans="1:10" ht="15.75" thickBot="1" x14ac:dyDescent="0.3">
      <c r="A355" s="3" t="s">
        <v>18</v>
      </c>
      <c r="B355" s="6"/>
      <c r="C355" s="8"/>
      <c r="D355" s="8"/>
      <c r="E355" s="6"/>
      <c r="F355" s="6"/>
      <c r="G355" s="90"/>
      <c r="H355" s="91"/>
    </row>
    <row r="356" spans="1:10" ht="45.75" thickBot="1" x14ac:dyDescent="0.3">
      <c r="A356" s="2" t="s">
        <v>19</v>
      </c>
      <c r="B356" s="6"/>
      <c r="C356" s="8"/>
      <c r="D356" s="6"/>
      <c r="E356" s="6"/>
      <c r="F356" s="6"/>
      <c r="G356" s="94"/>
      <c r="H356" s="95"/>
    </row>
    <row r="357" spans="1:10" ht="45.75" thickBot="1" x14ac:dyDescent="0.3">
      <c r="A357" s="2" t="s">
        <v>20</v>
      </c>
      <c r="B357" s="6">
        <f>G357*56%</f>
        <v>277.76000000000005</v>
      </c>
      <c r="C357" s="8"/>
      <c r="D357" s="6"/>
      <c r="E357" s="6">
        <f>G357-B357</f>
        <v>218.23999999999995</v>
      </c>
      <c r="F357" s="6"/>
      <c r="G357" s="90">
        <v>496</v>
      </c>
      <c r="H357" s="91"/>
      <c r="J357" s="10">
        <f>G357-307</f>
        <v>189</v>
      </c>
    </row>
    <row r="358" spans="1:10" ht="30.75" thickBot="1" x14ac:dyDescent="0.3">
      <c r="A358" s="2" t="s">
        <v>21</v>
      </c>
      <c r="B358" s="6">
        <f>G358*56%</f>
        <v>11569.04</v>
      </c>
      <c r="C358" s="6"/>
      <c r="D358" s="41">
        <f>G358-B358</f>
        <v>9089.9599999999991</v>
      </c>
      <c r="E358" s="8" t="s">
        <v>8</v>
      </c>
      <c r="F358" s="8" t="s">
        <v>8</v>
      </c>
      <c r="G358" s="90">
        <f>40087-18000-3550+2122</f>
        <v>20659</v>
      </c>
      <c r="H358" s="91"/>
    </row>
    <row r="359" spans="1:10" ht="15.75" thickBot="1" x14ac:dyDescent="0.3">
      <c r="A359" s="3" t="s">
        <v>22</v>
      </c>
      <c r="B359" s="6">
        <f>G359*56%</f>
        <v>294</v>
      </c>
      <c r="C359" s="6"/>
      <c r="D359" s="41">
        <f>G359-B359</f>
        <v>231</v>
      </c>
      <c r="E359" s="8" t="s">
        <v>8</v>
      </c>
      <c r="F359" s="8" t="s">
        <v>8</v>
      </c>
      <c r="G359" s="90">
        <v>525</v>
      </c>
      <c r="H359" s="91"/>
    </row>
    <row r="360" spans="1:10" ht="15.75" thickBot="1" x14ac:dyDescent="0.3">
      <c r="A360" s="3" t="s">
        <v>23</v>
      </c>
      <c r="B360" s="8" t="s">
        <v>8</v>
      </c>
      <c r="C360" s="12"/>
      <c r="D360" s="8" t="s">
        <v>8</v>
      </c>
      <c r="E360" s="8" t="s">
        <v>8</v>
      </c>
      <c r="F360" s="8" t="s">
        <v>8</v>
      </c>
      <c r="G360" s="94"/>
      <c r="H360" s="95"/>
    </row>
    <row r="361" spans="1:10" ht="15.75" thickBot="1" x14ac:dyDescent="0.3">
      <c r="A361" s="3" t="s">
        <v>24</v>
      </c>
      <c r="B361" s="6">
        <f>G361*56%</f>
        <v>0</v>
      </c>
      <c r="C361" s="6"/>
      <c r="D361" s="6"/>
      <c r="E361" s="8" t="s">
        <v>8</v>
      </c>
      <c r="F361" s="8" t="s">
        <v>8</v>
      </c>
      <c r="G361" s="90"/>
      <c r="H361" s="91"/>
      <c r="J361" s="10">
        <f>G357-307</f>
        <v>189</v>
      </c>
    </row>
    <row r="362" spans="1:10" ht="15.75" thickBot="1" x14ac:dyDescent="0.3">
      <c r="A362" s="4" t="s">
        <v>25</v>
      </c>
      <c r="B362" s="6">
        <f>SUM(B346:B361)</f>
        <v>202393.44000000003</v>
      </c>
      <c r="C362" s="6"/>
      <c r="D362" s="6">
        <f>SUM(D346:D361)</f>
        <v>74875.319999999978</v>
      </c>
      <c r="E362" s="6">
        <f>SUM(E346:E361)</f>
        <v>19780.240000000002</v>
      </c>
      <c r="F362" s="6"/>
      <c r="G362" s="90">
        <f>SUM(G346:H361)</f>
        <v>297049</v>
      </c>
      <c r="H362" s="91"/>
      <c r="J362" s="10">
        <f>G362-296860</f>
        <v>189</v>
      </c>
    </row>
    <row r="363" spans="1:10" x14ac:dyDescent="0.25">
      <c r="A363" s="92" t="s">
        <v>26</v>
      </c>
      <c r="B363" s="92"/>
      <c r="C363" s="92"/>
      <c r="D363" s="92"/>
      <c r="E363" s="92"/>
      <c r="F363" s="92"/>
      <c r="G363" s="92"/>
      <c r="H363" s="92"/>
    </row>
    <row r="364" spans="1:10" x14ac:dyDescent="0.25">
      <c r="A364" s="93" t="s">
        <v>27</v>
      </c>
      <c r="B364" s="93"/>
      <c r="C364" s="93"/>
      <c r="D364" s="93"/>
      <c r="E364" s="93"/>
      <c r="F364" s="93"/>
      <c r="G364" s="93"/>
      <c r="H364" s="93"/>
    </row>
    <row r="365" spans="1:10" x14ac:dyDescent="0.25">
      <c r="A365" s="93" t="s">
        <v>28</v>
      </c>
      <c r="B365" s="93"/>
      <c r="C365" s="93"/>
      <c r="D365" s="93"/>
      <c r="E365" s="93"/>
      <c r="F365" s="93"/>
      <c r="G365" s="93"/>
      <c r="H365" s="93"/>
    </row>
    <row r="366" spans="1:10" x14ac:dyDescent="0.25">
      <c r="A366" s="1"/>
      <c r="B366" s="9"/>
      <c r="C366" s="9"/>
      <c r="D366" s="9"/>
      <c r="E366" s="9"/>
      <c r="F366" s="9"/>
      <c r="G366" s="9"/>
      <c r="H366" s="9"/>
    </row>
    <row r="367" spans="1:10" ht="15.75" x14ac:dyDescent="0.25">
      <c r="A367" s="5"/>
    </row>
    <row r="368" spans="1:10" x14ac:dyDescent="0.25">
      <c r="B368" s="13" t="s">
        <v>164</v>
      </c>
      <c r="C368" s="13">
        <v>264083</v>
      </c>
    </row>
    <row r="369" spans="1:8" x14ac:dyDescent="0.25">
      <c r="C369" s="10">
        <f>C368-B362</f>
        <v>61689.559999999969</v>
      </c>
      <c r="D369"/>
      <c r="E369"/>
      <c r="F369"/>
      <c r="G369"/>
      <c r="H369"/>
    </row>
    <row r="370" spans="1:8" x14ac:dyDescent="0.25">
      <c r="D370"/>
      <c r="E370"/>
      <c r="F370"/>
      <c r="G370"/>
      <c r="H370"/>
    </row>
    <row r="371" spans="1:8" x14ac:dyDescent="0.25">
      <c r="D371"/>
      <c r="E371"/>
      <c r="F371"/>
      <c r="G371"/>
      <c r="H371"/>
    </row>
    <row r="372" spans="1:8" x14ac:dyDescent="0.25">
      <c r="D372"/>
      <c r="E372"/>
      <c r="F372"/>
      <c r="G372"/>
      <c r="H372"/>
    </row>
    <row r="373" spans="1:8" x14ac:dyDescent="0.25">
      <c r="A373" s="42"/>
      <c r="B373" s="43"/>
      <c r="C373" s="43"/>
      <c r="D373" s="43"/>
      <c r="E373" s="112" t="s">
        <v>29</v>
      </c>
      <c r="F373" s="112"/>
      <c r="G373" s="112"/>
      <c r="H373" s="112"/>
    </row>
    <row r="374" spans="1:8" x14ac:dyDescent="0.25">
      <c r="A374" s="113"/>
      <c r="B374" s="114"/>
      <c r="C374" s="114"/>
      <c r="D374" s="115"/>
      <c r="E374" s="115" t="s">
        <v>0</v>
      </c>
      <c r="F374" s="115"/>
      <c r="G374" s="115"/>
      <c r="H374" s="115"/>
    </row>
    <row r="375" spans="1:8" x14ac:dyDescent="0.25">
      <c r="A375" s="113"/>
      <c r="B375" s="114"/>
      <c r="C375" s="114"/>
      <c r="D375" s="115"/>
      <c r="E375" s="123" t="s">
        <v>1</v>
      </c>
      <c r="F375" s="115"/>
      <c r="G375" s="115"/>
      <c r="H375" s="115"/>
    </row>
    <row r="376" spans="1:8" ht="15.75" thickBot="1" x14ac:dyDescent="0.3">
      <c r="A376" s="98" t="s">
        <v>165</v>
      </c>
      <c r="B376" s="98"/>
      <c r="C376" s="98"/>
      <c r="D376" s="98"/>
      <c r="E376" s="98"/>
      <c r="F376" s="98"/>
      <c r="G376" s="99"/>
      <c r="H376" s="99"/>
    </row>
    <row r="377" spans="1:8" ht="15.75" thickBot="1" x14ac:dyDescent="0.3">
      <c r="A377" s="100" t="s">
        <v>2</v>
      </c>
      <c r="B377" s="103" t="s">
        <v>30</v>
      </c>
      <c r="C377" s="104"/>
      <c r="D377" s="104"/>
      <c r="E377" s="104"/>
      <c r="F377" s="104"/>
      <c r="G377" s="105" t="s">
        <v>3</v>
      </c>
      <c r="H377" s="106"/>
    </row>
    <row r="378" spans="1:8" ht="105.75" thickBot="1" x14ac:dyDescent="0.3">
      <c r="A378" s="101"/>
      <c r="B378" s="96" t="s">
        <v>30</v>
      </c>
      <c r="C378" s="107"/>
      <c r="D378" s="40" t="s">
        <v>32</v>
      </c>
      <c r="E378" s="107" t="s">
        <v>4</v>
      </c>
      <c r="F378" s="97"/>
      <c r="G378" s="108"/>
      <c r="H378" s="109"/>
    </row>
    <row r="379" spans="1:8" ht="150.75" thickBot="1" x14ac:dyDescent="0.3">
      <c r="A379" s="102"/>
      <c r="B379" s="7" t="s">
        <v>36</v>
      </c>
      <c r="C379" s="7" t="s">
        <v>5</v>
      </c>
      <c r="D379" s="7" t="s">
        <v>33</v>
      </c>
      <c r="E379" s="7" t="s">
        <v>34</v>
      </c>
      <c r="F379" s="7" t="s">
        <v>35</v>
      </c>
      <c r="G379" s="110"/>
      <c r="H379" s="111"/>
    </row>
    <row r="380" spans="1:8" ht="15.75" thickBot="1" x14ac:dyDescent="0.3">
      <c r="A380" s="39">
        <v>1</v>
      </c>
      <c r="B380" s="7">
        <v>2</v>
      </c>
      <c r="C380" s="11">
        <v>3</v>
      </c>
      <c r="D380" s="7">
        <v>4</v>
      </c>
      <c r="E380" s="11">
        <v>5</v>
      </c>
      <c r="F380" s="7">
        <v>6</v>
      </c>
      <c r="G380" s="96" t="s">
        <v>37</v>
      </c>
      <c r="H380" s="97"/>
    </row>
    <row r="381" spans="1:8" ht="60.75" thickBot="1" x14ac:dyDescent="0.3">
      <c r="A381" s="2" t="s">
        <v>7</v>
      </c>
      <c r="B381" s="6">
        <f>B382</f>
        <v>155752.88</v>
      </c>
      <c r="C381" s="12"/>
      <c r="D381" s="6">
        <f>D382</f>
        <v>49185.119999999995</v>
      </c>
      <c r="E381" s="8" t="s">
        <v>8</v>
      </c>
      <c r="F381" s="8" t="s">
        <v>8</v>
      </c>
      <c r="G381" s="90">
        <f>207752-1154-1660</f>
        <v>204938</v>
      </c>
      <c r="H381" s="91"/>
    </row>
    <row r="382" spans="1:8" ht="15.75" thickBot="1" x14ac:dyDescent="0.3">
      <c r="A382" s="3" t="s">
        <v>9</v>
      </c>
      <c r="B382" s="6">
        <f>G382*76%</f>
        <v>155752.88</v>
      </c>
      <c r="C382" s="12"/>
      <c r="D382" s="41">
        <f>G382-B382</f>
        <v>49185.119999999995</v>
      </c>
      <c r="E382" s="8" t="s">
        <v>8</v>
      </c>
      <c r="F382" s="8" t="s">
        <v>8</v>
      </c>
      <c r="G382" s="90">
        <f>G381-G383</f>
        <v>204938</v>
      </c>
      <c r="H382" s="91"/>
    </row>
    <row r="383" spans="1:8" ht="15.75" thickBot="1" x14ac:dyDescent="0.3">
      <c r="A383" s="2" t="s">
        <v>10</v>
      </c>
      <c r="B383" s="6">
        <v>0</v>
      </c>
      <c r="C383" s="12"/>
      <c r="D383" s="6">
        <v>0</v>
      </c>
      <c r="E383" s="8" t="s">
        <v>8</v>
      </c>
      <c r="F383" s="8" t="s">
        <v>8</v>
      </c>
      <c r="G383" s="116"/>
      <c r="H383" s="91"/>
    </row>
    <row r="384" spans="1:8" ht="60.75" thickBot="1" x14ac:dyDescent="0.3">
      <c r="A384" s="2" t="s">
        <v>11</v>
      </c>
      <c r="B384" s="6">
        <f>G384*76%</f>
        <v>47823</v>
      </c>
      <c r="C384" s="12"/>
      <c r="D384" s="41">
        <f>G384-B384</f>
        <v>15102</v>
      </c>
      <c r="E384" s="8" t="s">
        <v>8</v>
      </c>
      <c r="F384" s="8" t="s">
        <v>8</v>
      </c>
      <c r="G384" s="90">
        <f>63973-648-400</f>
        <v>62925</v>
      </c>
      <c r="H384" s="91"/>
    </row>
    <row r="385" spans="1:11" ht="30.75" thickBot="1" x14ac:dyDescent="0.3">
      <c r="A385" s="2" t="s">
        <v>12</v>
      </c>
      <c r="B385" s="6">
        <f>G385*76%</f>
        <v>2935.12</v>
      </c>
      <c r="C385" s="12"/>
      <c r="D385" s="41">
        <f>G385-B385</f>
        <v>926.88000000000011</v>
      </c>
      <c r="E385" s="8" t="s">
        <v>8</v>
      </c>
      <c r="F385" s="8" t="s">
        <v>8</v>
      </c>
      <c r="G385" s="90">
        <f>1154+648+1660+400</f>
        <v>3862</v>
      </c>
      <c r="H385" s="91"/>
    </row>
    <row r="386" spans="1:11" ht="30.75" thickBot="1" x14ac:dyDescent="0.3">
      <c r="A386" s="2" t="s">
        <v>13</v>
      </c>
      <c r="B386" s="6">
        <f>G386*56%</f>
        <v>0</v>
      </c>
      <c r="C386" s="6"/>
      <c r="D386" s="41">
        <f>G386-B386</f>
        <v>0</v>
      </c>
      <c r="E386" s="8" t="s">
        <v>8</v>
      </c>
      <c r="F386" s="8" t="s">
        <v>8</v>
      </c>
      <c r="G386" s="90">
        <v>0</v>
      </c>
      <c r="H386" s="91"/>
    </row>
    <row r="387" spans="1:11" ht="30.75" thickBot="1" x14ac:dyDescent="0.3">
      <c r="A387" s="2" t="s">
        <v>14</v>
      </c>
      <c r="B387" s="6">
        <f>G387*56%</f>
        <v>16220.960000000001</v>
      </c>
      <c r="C387" s="6"/>
      <c r="D387" s="41">
        <f>G387-B387</f>
        <v>12745.039999999999</v>
      </c>
      <c r="E387" s="8" t="s">
        <v>8</v>
      </c>
      <c r="F387" s="8" t="s">
        <v>8</v>
      </c>
      <c r="G387" s="90">
        <v>28966</v>
      </c>
      <c r="H387" s="91"/>
      <c r="J387" s="10">
        <f>G385+G384+G382</f>
        <v>271725</v>
      </c>
      <c r="K387" s="10">
        <f>271725-J387</f>
        <v>0</v>
      </c>
    </row>
    <row r="388" spans="1:11" ht="45.75" thickBot="1" x14ac:dyDescent="0.3">
      <c r="A388" s="2" t="s">
        <v>15</v>
      </c>
      <c r="B388" s="8" t="s">
        <v>8</v>
      </c>
      <c r="C388" s="8" t="s">
        <v>8</v>
      </c>
      <c r="D388" s="6"/>
      <c r="E388" s="8" t="s">
        <v>8</v>
      </c>
      <c r="F388" s="8" t="s">
        <v>8</v>
      </c>
      <c r="G388" s="90"/>
      <c r="H388" s="91"/>
    </row>
    <row r="389" spans="1:11" ht="15.75" thickBot="1" x14ac:dyDescent="0.3">
      <c r="A389" s="2" t="s">
        <v>16</v>
      </c>
      <c r="B389" s="8" t="s">
        <v>8</v>
      </c>
      <c r="C389" s="8" t="s">
        <v>8</v>
      </c>
      <c r="D389" s="12"/>
      <c r="E389" s="6">
        <f>G389</f>
        <v>32771</v>
      </c>
      <c r="F389" s="6"/>
      <c r="G389" s="90">
        <v>32771</v>
      </c>
      <c r="H389" s="91"/>
    </row>
    <row r="390" spans="1:11" ht="15.75" thickBot="1" x14ac:dyDescent="0.3">
      <c r="A390" s="3" t="s">
        <v>17</v>
      </c>
      <c r="B390" s="6">
        <f>G390*56%</f>
        <v>1988.0000000000002</v>
      </c>
      <c r="C390" s="8"/>
      <c r="D390" s="6"/>
      <c r="E390" s="6">
        <f>G390-B390</f>
        <v>1561.9999999999998</v>
      </c>
      <c r="F390" s="6"/>
      <c r="G390" s="90">
        <v>3550</v>
      </c>
      <c r="H390" s="91"/>
    </row>
    <row r="391" spans="1:11" ht="15.75" thickBot="1" x14ac:dyDescent="0.3">
      <c r="A391" s="3" t="s">
        <v>18</v>
      </c>
      <c r="B391" s="6"/>
      <c r="C391" s="8"/>
      <c r="D391" s="8"/>
      <c r="E391" s="6"/>
      <c r="F391" s="6"/>
      <c r="G391" s="90"/>
      <c r="H391" s="91"/>
    </row>
    <row r="392" spans="1:11" ht="45.75" thickBot="1" x14ac:dyDescent="0.3">
      <c r="A392" s="2" t="s">
        <v>19</v>
      </c>
      <c r="B392" s="6"/>
      <c r="C392" s="8"/>
      <c r="D392" s="6"/>
      <c r="E392" s="6"/>
      <c r="F392" s="6"/>
      <c r="G392" s="94"/>
      <c r="H392" s="95"/>
    </row>
    <row r="393" spans="1:11" ht="45.75" thickBot="1" x14ac:dyDescent="0.3">
      <c r="A393" s="2" t="s">
        <v>20</v>
      </c>
      <c r="B393" s="6">
        <f>G393*56%</f>
        <v>518</v>
      </c>
      <c r="C393" s="8"/>
      <c r="D393" s="6"/>
      <c r="E393" s="6">
        <f>G393-B393</f>
        <v>407</v>
      </c>
      <c r="F393" s="6"/>
      <c r="G393" s="90">
        <v>925</v>
      </c>
      <c r="H393" s="91"/>
      <c r="J393" s="10">
        <f>G393-307</f>
        <v>618</v>
      </c>
    </row>
    <row r="394" spans="1:11" ht="30.75" thickBot="1" x14ac:dyDescent="0.3">
      <c r="A394" s="2" t="s">
        <v>21</v>
      </c>
      <c r="B394" s="6">
        <f>G394*56%</f>
        <v>12314.960000000001</v>
      </c>
      <c r="C394" s="6"/>
      <c r="D394" s="41">
        <f>G394-B394</f>
        <v>9676.0399999999991</v>
      </c>
      <c r="E394" s="8" t="s">
        <v>8</v>
      </c>
      <c r="F394" s="8" t="s">
        <v>8</v>
      </c>
      <c r="G394" s="90">
        <f>56190-32771-3550+2122</f>
        <v>21991</v>
      </c>
      <c r="H394" s="91"/>
    </row>
    <row r="395" spans="1:11" ht="15.75" thickBot="1" x14ac:dyDescent="0.3">
      <c r="A395" s="3" t="s">
        <v>22</v>
      </c>
      <c r="B395" s="6">
        <f>G395*56%</f>
        <v>314.72000000000003</v>
      </c>
      <c r="C395" s="6"/>
      <c r="D395" s="41">
        <f>G395-B395</f>
        <v>247.27999999999997</v>
      </c>
      <c r="E395" s="8" t="s">
        <v>8</v>
      </c>
      <c r="F395" s="8" t="s">
        <v>8</v>
      </c>
      <c r="G395" s="90">
        <v>562</v>
      </c>
      <c r="H395" s="91"/>
    </row>
    <row r="396" spans="1:11" ht="15.75" thickBot="1" x14ac:dyDescent="0.3">
      <c r="A396" s="3" t="s">
        <v>23</v>
      </c>
      <c r="B396" s="8" t="s">
        <v>8</v>
      </c>
      <c r="C396" s="12"/>
      <c r="D396" s="8" t="s">
        <v>8</v>
      </c>
      <c r="E396" s="8" t="s">
        <v>8</v>
      </c>
      <c r="F396" s="8" t="s">
        <v>8</v>
      </c>
      <c r="G396" s="94"/>
      <c r="H396" s="95"/>
    </row>
    <row r="397" spans="1:11" ht="15.75" thickBot="1" x14ac:dyDescent="0.3">
      <c r="A397" s="3" t="s">
        <v>24</v>
      </c>
      <c r="B397" s="6">
        <f>G397*56%</f>
        <v>0</v>
      </c>
      <c r="C397" s="6"/>
      <c r="D397" s="6"/>
      <c r="E397" s="8" t="s">
        <v>8</v>
      </c>
      <c r="F397" s="8" t="s">
        <v>8</v>
      </c>
      <c r="G397" s="90"/>
      <c r="H397" s="91"/>
      <c r="J397" s="10">
        <f>G393-307</f>
        <v>618</v>
      </c>
    </row>
    <row r="398" spans="1:11" ht="15.75" thickBot="1" x14ac:dyDescent="0.3">
      <c r="A398" s="4" t="s">
        <v>25</v>
      </c>
      <c r="B398" s="6">
        <f>SUM(B382:B397)</f>
        <v>237867.63999999998</v>
      </c>
      <c r="C398" s="6"/>
      <c r="D398" s="6">
        <f>SUM(D382:D397)</f>
        <v>87882.359999999986</v>
      </c>
      <c r="E398" s="6">
        <f>SUM(E382:E397)</f>
        <v>34740</v>
      </c>
      <c r="F398" s="6"/>
      <c r="G398" s="90">
        <f>SUM(G382:H397)</f>
        <v>360490</v>
      </c>
      <c r="H398" s="91"/>
      <c r="J398" s="10">
        <f>G398-359871</f>
        <v>619</v>
      </c>
    </row>
    <row r="399" spans="1:11" x14ac:dyDescent="0.25">
      <c r="A399" s="92" t="s">
        <v>26</v>
      </c>
      <c r="B399" s="92"/>
      <c r="C399" s="92"/>
      <c r="D399" s="92"/>
      <c r="E399" s="92"/>
      <c r="F399" s="92"/>
      <c r="G399" s="92"/>
      <c r="H399" s="92"/>
    </row>
    <row r="400" spans="1:11" x14ac:dyDescent="0.25">
      <c r="A400" s="93" t="s">
        <v>27</v>
      </c>
      <c r="B400" s="93"/>
      <c r="C400" s="93"/>
      <c r="D400" s="93"/>
      <c r="E400" s="93"/>
      <c r="F400" s="93"/>
      <c r="G400" s="93"/>
      <c r="H400" s="93"/>
    </row>
    <row r="401" spans="1:8" x14ac:dyDescent="0.25">
      <c r="A401" s="93" t="s">
        <v>28</v>
      </c>
      <c r="B401" s="93"/>
      <c r="C401" s="93"/>
      <c r="D401" s="93"/>
      <c r="E401" s="93"/>
      <c r="F401" s="93"/>
      <c r="G401" s="93"/>
      <c r="H401" s="93"/>
    </row>
    <row r="402" spans="1:8" x14ac:dyDescent="0.25">
      <c r="A402" s="1"/>
      <c r="B402" s="9"/>
      <c r="C402" s="9"/>
      <c r="D402" s="9"/>
      <c r="E402" s="9"/>
      <c r="F402" s="9"/>
      <c r="G402" s="9"/>
      <c r="H402" s="9"/>
    </row>
    <row r="403" spans="1:8" ht="15.75" x14ac:dyDescent="0.25">
      <c r="A403" s="5"/>
    </row>
    <row r="404" spans="1:8" x14ac:dyDescent="0.25">
      <c r="B404" s="13" t="s">
        <v>166</v>
      </c>
      <c r="C404" s="13">
        <v>289941</v>
      </c>
    </row>
    <row r="405" spans="1:8" x14ac:dyDescent="0.25">
      <c r="C405" s="10">
        <f>C404-B398</f>
        <v>52073.360000000015</v>
      </c>
      <c r="D405"/>
      <c r="E405"/>
      <c r="F405"/>
      <c r="G405"/>
      <c r="H405"/>
    </row>
    <row r="406" spans="1:8" x14ac:dyDescent="0.25">
      <c r="D406"/>
      <c r="E406"/>
      <c r="F406"/>
      <c r="G406"/>
      <c r="H406"/>
    </row>
    <row r="407" spans="1:8" x14ac:dyDescent="0.25">
      <c r="D407"/>
      <c r="E407"/>
      <c r="F407"/>
      <c r="G407"/>
      <c r="H407"/>
    </row>
    <row r="408" spans="1:8" x14ac:dyDescent="0.25">
      <c r="D408"/>
      <c r="E408"/>
      <c r="F408"/>
      <c r="G408"/>
      <c r="H408"/>
    </row>
    <row r="409" spans="1:8" x14ac:dyDescent="0.25">
      <c r="D409"/>
      <c r="E409"/>
      <c r="F409"/>
      <c r="G409"/>
      <c r="H409"/>
    </row>
    <row r="410" spans="1:8" x14ac:dyDescent="0.25">
      <c r="D410"/>
      <c r="E410"/>
      <c r="F410"/>
      <c r="G410"/>
      <c r="H410"/>
    </row>
    <row r="411" spans="1:8" ht="15.75" x14ac:dyDescent="0.25">
      <c r="D411"/>
      <c r="E411"/>
      <c r="F411"/>
      <c r="G411"/>
      <c r="H411" s="49" t="s">
        <v>169</v>
      </c>
    </row>
    <row r="412" spans="1:8" ht="15.75" x14ac:dyDescent="0.25">
      <c r="D412"/>
      <c r="E412"/>
      <c r="F412"/>
      <c r="G412"/>
      <c r="H412" s="49" t="s">
        <v>170</v>
      </c>
    </row>
    <row r="413" spans="1:8" x14ac:dyDescent="0.25">
      <c r="D413"/>
      <c r="E413"/>
      <c r="F413"/>
      <c r="G413"/>
      <c r="H413"/>
    </row>
    <row r="414" spans="1:8" x14ac:dyDescent="0.25">
      <c r="D414"/>
      <c r="E414"/>
      <c r="F414"/>
      <c r="G414"/>
      <c r="H414"/>
    </row>
    <row r="415" spans="1:8" x14ac:dyDescent="0.25">
      <c r="A415" s="121" t="s">
        <v>178</v>
      </c>
      <c r="B415" s="122"/>
      <c r="C415" s="122"/>
      <c r="D415" s="122"/>
      <c r="E415" s="122"/>
      <c r="F415" s="122"/>
      <c r="G415" s="122"/>
      <c r="H415" s="122"/>
    </row>
    <row r="416" spans="1:8" x14ac:dyDescent="0.25">
      <c r="A416" s="122"/>
      <c r="B416" s="122"/>
      <c r="C416" s="122"/>
      <c r="D416" s="122"/>
      <c r="E416" s="122"/>
      <c r="F416" s="122"/>
      <c r="G416" s="122"/>
      <c r="H416" s="122"/>
    </row>
    <row r="417" spans="1:11" x14ac:dyDescent="0.25">
      <c r="A417" s="122"/>
      <c r="B417" s="122"/>
      <c r="C417" s="122"/>
      <c r="D417" s="122"/>
      <c r="E417" s="122"/>
      <c r="F417" s="122"/>
      <c r="G417" s="122"/>
      <c r="H417" s="122"/>
    </row>
    <row r="418" spans="1:11" x14ac:dyDescent="0.25">
      <c r="A418" s="122"/>
      <c r="B418" s="122"/>
      <c r="C418" s="122"/>
      <c r="D418" s="122"/>
      <c r="E418" s="122"/>
      <c r="F418" s="122"/>
      <c r="G418" s="122"/>
      <c r="H418" s="122"/>
    </row>
    <row r="419" spans="1:11" ht="58.15" customHeight="1" x14ac:dyDescent="0.25">
      <c r="A419" s="122"/>
      <c r="B419" s="122"/>
      <c r="C419" s="122"/>
      <c r="D419" s="122"/>
      <c r="E419" s="122"/>
      <c r="F419" s="122"/>
      <c r="G419" s="122"/>
      <c r="H419" s="122"/>
    </row>
    <row r="420" spans="1:11" ht="15.75" thickBot="1" x14ac:dyDescent="0.3">
      <c r="A420" s="98" t="s">
        <v>167</v>
      </c>
      <c r="B420" s="98"/>
      <c r="C420" s="98"/>
      <c r="D420" s="98"/>
      <c r="E420" s="98"/>
      <c r="F420" s="98"/>
      <c r="G420" s="99"/>
      <c r="H420" s="99"/>
    </row>
    <row r="421" spans="1:11" ht="15.75" thickBot="1" x14ac:dyDescent="0.3">
      <c r="A421" s="100" t="s">
        <v>2</v>
      </c>
      <c r="B421" s="103" t="s">
        <v>30</v>
      </c>
      <c r="C421" s="104"/>
      <c r="D421" s="104"/>
      <c r="E421" s="104"/>
      <c r="F421" s="104"/>
      <c r="G421" s="105" t="s">
        <v>3</v>
      </c>
      <c r="H421" s="106"/>
    </row>
    <row r="422" spans="1:11" ht="105.75" thickBot="1" x14ac:dyDescent="0.3">
      <c r="A422" s="101"/>
      <c r="B422" s="96" t="s">
        <v>172</v>
      </c>
      <c r="C422" s="107"/>
      <c r="D422" s="40" t="s">
        <v>32</v>
      </c>
      <c r="E422" s="107" t="s">
        <v>4</v>
      </c>
      <c r="F422" s="97"/>
      <c r="G422" s="108"/>
      <c r="H422" s="109"/>
    </row>
    <row r="423" spans="1:11" ht="150.75" thickBot="1" x14ac:dyDescent="0.3">
      <c r="A423" s="102"/>
      <c r="B423" s="7" t="s">
        <v>36</v>
      </c>
      <c r="C423" s="7" t="s">
        <v>5</v>
      </c>
      <c r="D423" s="7" t="s">
        <v>33</v>
      </c>
      <c r="E423" s="7" t="s">
        <v>34</v>
      </c>
      <c r="F423" s="7" t="s">
        <v>35</v>
      </c>
      <c r="G423" s="110"/>
      <c r="H423" s="111"/>
    </row>
    <row r="424" spans="1:11" ht="15.75" thickBot="1" x14ac:dyDescent="0.3">
      <c r="A424" s="39">
        <v>1</v>
      </c>
      <c r="B424" s="7">
        <v>2</v>
      </c>
      <c r="C424" s="11">
        <v>3</v>
      </c>
      <c r="D424" s="7">
        <v>4</v>
      </c>
      <c r="E424" s="11">
        <v>5</v>
      </c>
      <c r="F424" s="7">
        <v>6</v>
      </c>
      <c r="G424" s="96" t="s">
        <v>37</v>
      </c>
      <c r="H424" s="97"/>
    </row>
    <row r="425" spans="1:11" ht="60.75" thickBot="1" x14ac:dyDescent="0.3">
      <c r="A425" s="2" t="s">
        <v>7</v>
      </c>
      <c r="B425" s="6">
        <f>B426</f>
        <v>172700.12</v>
      </c>
      <c r="C425" s="53" t="s">
        <v>8</v>
      </c>
      <c r="D425" s="6">
        <f>D426</f>
        <v>54536.880000000005</v>
      </c>
      <c r="E425" s="8" t="s">
        <v>8</v>
      </c>
      <c r="F425" s="8" t="s">
        <v>8</v>
      </c>
      <c r="G425" s="90">
        <f>230177-1280-1660</f>
        <v>227237</v>
      </c>
      <c r="H425" s="91"/>
    </row>
    <row r="426" spans="1:11" ht="15.75" thickBot="1" x14ac:dyDescent="0.3">
      <c r="A426" s="3" t="s">
        <v>9</v>
      </c>
      <c r="B426" s="6">
        <f>G426*76%</f>
        <v>172700.12</v>
      </c>
      <c r="C426" s="53" t="s">
        <v>8</v>
      </c>
      <c r="D426" s="41">
        <f>G426-B426</f>
        <v>54536.880000000005</v>
      </c>
      <c r="E426" s="8" t="s">
        <v>8</v>
      </c>
      <c r="F426" s="8" t="s">
        <v>8</v>
      </c>
      <c r="G426" s="90">
        <f>G425-G427</f>
        <v>227237</v>
      </c>
      <c r="H426" s="91"/>
    </row>
    <row r="427" spans="1:11" ht="15.75" thickBot="1" x14ac:dyDescent="0.3">
      <c r="A427" s="2" t="s">
        <v>10</v>
      </c>
      <c r="B427" s="6">
        <v>0</v>
      </c>
      <c r="C427" s="53" t="s">
        <v>8</v>
      </c>
      <c r="D427" s="6">
        <v>0</v>
      </c>
      <c r="E427" s="8" t="s">
        <v>8</v>
      </c>
      <c r="F427" s="8" t="s">
        <v>8</v>
      </c>
      <c r="G427" s="116"/>
      <c r="H427" s="91"/>
    </row>
    <row r="428" spans="1:11" ht="60.75" thickBot="1" x14ac:dyDescent="0.3">
      <c r="A428" s="2" t="s">
        <v>11</v>
      </c>
      <c r="B428" s="6">
        <f>G428*76%</f>
        <v>51457.32</v>
      </c>
      <c r="C428" s="53" t="s">
        <v>8</v>
      </c>
      <c r="D428" s="41">
        <f>G428-B428</f>
        <v>16249.68</v>
      </c>
      <c r="E428" s="8" t="s">
        <v>8</v>
      </c>
      <c r="F428" s="8" t="s">
        <v>8</v>
      </c>
      <c r="G428" s="90">
        <f>68824-717-400</f>
        <v>67707</v>
      </c>
      <c r="H428" s="91"/>
    </row>
    <row r="429" spans="1:11" ht="30.75" thickBot="1" x14ac:dyDescent="0.3">
      <c r="A429" s="2" t="s">
        <v>12</v>
      </c>
      <c r="B429" s="6">
        <f>G429*76%</f>
        <v>3083.32</v>
      </c>
      <c r="C429" s="53" t="s">
        <v>8</v>
      </c>
      <c r="D429" s="41">
        <f>G429-B429</f>
        <v>973.67999999999984</v>
      </c>
      <c r="E429" s="8" t="s">
        <v>8</v>
      </c>
      <c r="F429" s="8" t="s">
        <v>8</v>
      </c>
      <c r="G429" s="90">
        <f>1280+717+1660+400</f>
        <v>4057</v>
      </c>
      <c r="H429" s="91"/>
    </row>
    <row r="430" spans="1:11" ht="30.75" thickBot="1" x14ac:dyDescent="0.3">
      <c r="A430" s="2" t="s">
        <v>13</v>
      </c>
      <c r="B430" s="6">
        <f>G430*62%</f>
        <v>0</v>
      </c>
      <c r="C430" s="53" t="s">
        <v>8</v>
      </c>
      <c r="D430" s="41">
        <f>G430-B430</f>
        <v>0</v>
      </c>
      <c r="E430" s="8" t="s">
        <v>8</v>
      </c>
      <c r="F430" s="8" t="s">
        <v>8</v>
      </c>
      <c r="G430" s="90">
        <v>0</v>
      </c>
      <c r="H430" s="91"/>
    </row>
    <row r="431" spans="1:11" ht="30.75" thickBot="1" x14ac:dyDescent="0.3">
      <c r="A431" s="2" t="s">
        <v>14</v>
      </c>
      <c r="B431" s="6">
        <f>G431*62%</f>
        <v>19216.28</v>
      </c>
      <c r="C431" s="53" t="s">
        <v>8</v>
      </c>
      <c r="D431" s="41">
        <f>G431-B431</f>
        <v>11777.720000000001</v>
      </c>
      <c r="E431" s="8" t="s">
        <v>8</v>
      </c>
      <c r="F431" s="8" t="s">
        <v>8</v>
      </c>
      <c r="G431" s="90">
        <v>30994</v>
      </c>
      <c r="H431" s="91"/>
      <c r="J431" s="10">
        <f>G429+G428+G426</f>
        <v>299001</v>
      </c>
      <c r="K431" s="10">
        <f>271725-J431</f>
        <v>-27276</v>
      </c>
    </row>
    <row r="432" spans="1:11" ht="45.75" thickBot="1" x14ac:dyDescent="0.3">
      <c r="A432" s="2" t="s">
        <v>15</v>
      </c>
      <c r="B432" s="8" t="s">
        <v>8</v>
      </c>
      <c r="C432" s="8" t="s">
        <v>8</v>
      </c>
      <c r="D432" s="6"/>
      <c r="E432" s="8" t="s">
        <v>8</v>
      </c>
      <c r="F432" s="8" t="s">
        <v>8</v>
      </c>
      <c r="G432" s="90"/>
      <c r="H432" s="91"/>
    </row>
    <row r="433" spans="1:10" ht="15.75" thickBot="1" x14ac:dyDescent="0.3">
      <c r="A433" s="2" t="s">
        <v>16</v>
      </c>
      <c r="B433" s="8" t="s">
        <v>8</v>
      </c>
      <c r="C433" s="8" t="s">
        <v>8</v>
      </c>
      <c r="D433" s="8" t="s">
        <v>8</v>
      </c>
      <c r="E433" s="6">
        <f>G433</f>
        <v>35771</v>
      </c>
      <c r="F433" s="6"/>
      <c r="G433" s="90">
        <v>35771</v>
      </c>
      <c r="H433" s="91"/>
    </row>
    <row r="434" spans="1:10" ht="15.75" thickBot="1" x14ac:dyDescent="0.3">
      <c r="A434" s="3" t="s">
        <v>17</v>
      </c>
      <c r="B434" s="8" t="s">
        <v>8</v>
      </c>
      <c r="C434" s="8" t="s">
        <v>8</v>
      </c>
      <c r="D434" s="8" t="s">
        <v>8</v>
      </c>
      <c r="E434" s="6">
        <f>G434</f>
        <v>3550</v>
      </c>
      <c r="F434" s="6"/>
      <c r="G434" s="90">
        <v>3550</v>
      </c>
      <c r="H434" s="91"/>
    </row>
    <row r="435" spans="1:10" ht="15.75" thickBot="1" x14ac:dyDescent="0.3">
      <c r="A435" s="3" t="s">
        <v>18</v>
      </c>
      <c r="B435" s="8" t="s">
        <v>8</v>
      </c>
      <c r="C435" s="8" t="s">
        <v>8</v>
      </c>
      <c r="D435" s="8" t="s">
        <v>8</v>
      </c>
      <c r="E435" s="6"/>
      <c r="F435" s="6"/>
      <c r="G435" s="90"/>
      <c r="H435" s="91"/>
    </row>
    <row r="436" spans="1:10" ht="45.75" thickBot="1" x14ac:dyDescent="0.3">
      <c r="A436" s="2" t="s">
        <v>19</v>
      </c>
      <c r="B436" s="8" t="s">
        <v>8</v>
      </c>
      <c r="C436" s="8" t="s">
        <v>8</v>
      </c>
      <c r="D436" s="8" t="s">
        <v>8</v>
      </c>
      <c r="E436" s="6"/>
      <c r="F436" s="6"/>
      <c r="G436" s="94"/>
      <c r="H436" s="95"/>
    </row>
    <row r="437" spans="1:10" ht="45.75" thickBot="1" x14ac:dyDescent="0.3">
      <c r="A437" s="2" t="s">
        <v>20</v>
      </c>
      <c r="B437" s="8" t="s">
        <v>8</v>
      </c>
      <c r="C437" s="8" t="s">
        <v>8</v>
      </c>
      <c r="D437" s="8" t="s">
        <v>8</v>
      </c>
      <c r="E437" s="6">
        <f>G437</f>
        <v>1177</v>
      </c>
      <c r="F437" s="6"/>
      <c r="G437" s="90">
        <v>1177</v>
      </c>
      <c r="H437" s="91"/>
      <c r="J437" s="10">
        <f>G437-307</f>
        <v>870</v>
      </c>
    </row>
    <row r="438" spans="1:10" ht="30.75" thickBot="1" x14ac:dyDescent="0.3">
      <c r="A438" s="2" t="s">
        <v>21</v>
      </c>
      <c r="B438" s="6">
        <f>G438*62%</f>
        <v>14341.22</v>
      </c>
      <c r="C438" s="8" t="s">
        <v>8</v>
      </c>
      <c r="D438" s="41">
        <f>G438-B438</f>
        <v>8789.7800000000007</v>
      </c>
      <c r="E438" s="8" t="s">
        <v>8</v>
      </c>
      <c r="F438" s="8" t="s">
        <v>8</v>
      </c>
      <c r="G438" s="90">
        <f>60330-35771-3550+2122</f>
        <v>23131</v>
      </c>
      <c r="H438" s="91"/>
    </row>
    <row r="439" spans="1:10" ht="15.75" thickBot="1" x14ac:dyDescent="0.3">
      <c r="A439" s="3" t="s">
        <v>22</v>
      </c>
      <c r="B439" s="6">
        <f>G439*62%</f>
        <v>369.52</v>
      </c>
      <c r="C439" s="8" t="s">
        <v>8</v>
      </c>
      <c r="D439" s="41">
        <f>G439-B439</f>
        <v>226.48000000000002</v>
      </c>
      <c r="E439" s="8" t="s">
        <v>8</v>
      </c>
      <c r="F439" s="8" t="s">
        <v>8</v>
      </c>
      <c r="G439" s="90">
        <v>596</v>
      </c>
      <c r="H439" s="91"/>
    </row>
    <row r="440" spans="1:10" ht="15.75" thickBot="1" x14ac:dyDescent="0.3">
      <c r="A440" s="3" t="s">
        <v>23</v>
      </c>
      <c r="B440" s="8" t="s">
        <v>8</v>
      </c>
      <c r="C440" s="8"/>
      <c r="D440" s="8" t="s">
        <v>8</v>
      </c>
      <c r="E440" s="8" t="s">
        <v>8</v>
      </c>
      <c r="F440" s="8" t="s">
        <v>8</v>
      </c>
      <c r="G440" s="94"/>
      <c r="H440" s="95"/>
    </row>
    <row r="441" spans="1:10" ht="15.75" thickBot="1" x14ac:dyDescent="0.3">
      <c r="A441" s="3" t="s">
        <v>24</v>
      </c>
      <c r="B441" s="6">
        <f>G441*56%</f>
        <v>0</v>
      </c>
      <c r="C441" s="8" t="s">
        <v>8</v>
      </c>
      <c r="D441" s="6"/>
      <c r="E441" s="8" t="s">
        <v>8</v>
      </c>
      <c r="F441" s="8" t="s">
        <v>8</v>
      </c>
      <c r="G441" s="90"/>
      <c r="H441" s="91"/>
      <c r="J441" s="10">
        <f>G437-307</f>
        <v>870</v>
      </c>
    </row>
    <row r="442" spans="1:10" ht="15.75" thickBot="1" x14ac:dyDescent="0.3">
      <c r="A442" s="4" t="s">
        <v>25</v>
      </c>
      <c r="B442" s="6">
        <f>SUM(B426:B441)</f>
        <v>261167.78</v>
      </c>
      <c r="C442" s="6"/>
      <c r="D442" s="6">
        <f>SUM(D426:D441)</f>
        <v>92554.219999999987</v>
      </c>
      <c r="E442" s="6">
        <f>SUM(E426:E441)</f>
        <v>40498</v>
      </c>
      <c r="F442" s="6"/>
      <c r="G442" s="90">
        <f>SUM(G426:H441)</f>
        <v>394220</v>
      </c>
      <c r="H442" s="91"/>
      <c r="J442" s="10">
        <f>G442-393350</f>
        <v>870</v>
      </c>
    </row>
    <row r="443" spans="1:10" x14ac:dyDescent="0.25">
      <c r="A443" s="117" t="s">
        <v>173</v>
      </c>
      <c r="B443" s="118"/>
      <c r="C443" s="118"/>
      <c r="D443" s="118"/>
      <c r="E443" s="118"/>
      <c r="F443" s="118"/>
      <c r="G443" s="118"/>
      <c r="H443" s="118"/>
      <c r="J443" s="10"/>
    </row>
    <row r="444" spans="1:10" x14ac:dyDescent="0.25">
      <c r="A444" s="119"/>
      <c r="B444" s="119"/>
      <c r="C444" s="119"/>
      <c r="D444" s="119"/>
      <c r="E444" s="119"/>
      <c r="F444" s="119"/>
      <c r="G444" s="119"/>
      <c r="H444" s="119"/>
      <c r="J444" s="10"/>
    </row>
    <row r="445" spans="1:10" x14ac:dyDescent="0.25">
      <c r="A445" s="119"/>
      <c r="B445" s="119"/>
      <c r="C445" s="119"/>
      <c r="D445" s="119"/>
      <c r="E445" s="119"/>
      <c r="F445" s="119"/>
      <c r="G445" s="119"/>
      <c r="H445" s="119"/>
      <c r="J445" s="10"/>
    </row>
    <row r="446" spans="1:10" ht="89.45" customHeight="1" x14ac:dyDescent="0.25">
      <c r="A446" s="120"/>
      <c r="B446" s="120"/>
      <c r="C446" s="120"/>
      <c r="D446" s="120"/>
      <c r="E446" s="120"/>
      <c r="F446" s="120"/>
      <c r="G446" s="120"/>
      <c r="H446" s="120"/>
      <c r="J446" s="10"/>
    </row>
    <row r="447" spans="1:10" x14ac:dyDescent="0.25">
      <c r="A447" s="52"/>
      <c r="B447" s="51" t="s">
        <v>168</v>
      </c>
      <c r="C447" s="51">
        <v>322810</v>
      </c>
      <c r="D447" s="51"/>
      <c r="E447" s="51"/>
      <c r="F447" s="51"/>
      <c r="G447" s="51"/>
      <c r="H447" s="51"/>
    </row>
    <row r="448" spans="1:10" x14ac:dyDescent="0.25">
      <c r="C448" s="10">
        <f>C447-B442</f>
        <v>61642.22</v>
      </c>
      <c r="D448"/>
      <c r="E448"/>
      <c r="F448"/>
      <c r="G448"/>
      <c r="H448"/>
    </row>
    <row r="449" spans="1:8" x14ac:dyDescent="0.25">
      <c r="D449"/>
      <c r="E449"/>
      <c r="F449"/>
      <c r="G449"/>
      <c r="H449"/>
    </row>
    <row r="450" spans="1:8" x14ac:dyDescent="0.25">
      <c r="D450"/>
      <c r="E450"/>
      <c r="F450"/>
      <c r="G450"/>
      <c r="H450"/>
    </row>
    <row r="451" spans="1:8" ht="18.75" customHeight="1" x14ac:dyDescent="0.25">
      <c r="D451"/>
      <c r="E451"/>
      <c r="F451"/>
      <c r="G451"/>
      <c r="H451"/>
    </row>
    <row r="455" spans="1:8" hidden="1" x14ac:dyDescent="0.25"/>
    <row r="456" spans="1:8" hidden="1" x14ac:dyDescent="0.25">
      <c r="A456" s="22"/>
      <c r="B456" s="23"/>
      <c r="C456" s="23"/>
      <c r="D456" s="23"/>
      <c r="E456" s="112" t="s">
        <v>29</v>
      </c>
      <c r="F456" s="112"/>
      <c r="G456" s="112"/>
      <c r="H456" s="112"/>
    </row>
    <row r="457" spans="1:8" hidden="1" x14ac:dyDescent="0.25">
      <c r="A457" s="113"/>
      <c r="B457" s="114"/>
      <c r="C457" s="114"/>
      <c r="D457" s="115"/>
      <c r="E457" s="115" t="s">
        <v>0</v>
      </c>
      <c r="F457" s="115"/>
      <c r="G457" s="115"/>
      <c r="H457" s="115"/>
    </row>
    <row r="458" spans="1:8" hidden="1" x14ac:dyDescent="0.25">
      <c r="A458" s="113"/>
      <c r="B458" s="114"/>
      <c r="C458" s="114"/>
      <c r="D458" s="115"/>
      <c r="E458" s="115" t="s">
        <v>1</v>
      </c>
      <c r="F458" s="115"/>
      <c r="G458" s="115"/>
      <c r="H458" s="115"/>
    </row>
    <row r="459" spans="1:8" ht="15.75" hidden="1" thickBot="1" x14ac:dyDescent="0.3">
      <c r="A459" s="98" t="s">
        <v>39</v>
      </c>
      <c r="B459" s="98"/>
      <c r="C459" s="98"/>
      <c r="D459" s="98"/>
      <c r="E459" s="98"/>
      <c r="F459" s="98"/>
      <c r="G459" s="99"/>
      <c r="H459" s="99"/>
    </row>
    <row r="460" spans="1:8" ht="15.75" hidden="1" thickBot="1" x14ac:dyDescent="0.3">
      <c r="A460" s="100" t="s">
        <v>2</v>
      </c>
      <c r="B460" s="103" t="s">
        <v>30</v>
      </c>
      <c r="C460" s="104"/>
      <c r="D460" s="104"/>
      <c r="E460" s="104"/>
      <c r="F460" s="104"/>
      <c r="G460" s="105" t="s">
        <v>3</v>
      </c>
      <c r="H460" s="106"/>
    </row>
    <row r="461" spans="1:8" ht="105.75" hidden="1" thickBot="1" x14ac:dyDescent="0.3">
      <c r="A461" s="101"/>
      <c r="B461" s="96" t="s">
        <v>30</v>
      </c>
      <c r="C461" s="107"/>
      <c r="D461" s="25" t="s">
        <v>32</v>
      </c>
      <c r="E461" s="107" t="s">
        <v>4</v>
      </c>
      <c r="F461" s="97"/>
      <c r="G461" s="108"/>
      <c r="H461" s="109"/>
    </row>
    <row r="462" spans="1:8" ht="150.75" hidden="1" thickBot="1" x14ac:dyDescent="0.3">
      <c r="A462" s="102"/>
      <c r="B462" s="7" t="s">
        <v>36</v>
      </c>
      <c r="C462" s="7" t="s">
        <v>5</v>
      </c>
      <c r="D462" s="7" t="s">
        <v>33</v>
      </c>
      <c r="E462" s="7" t="s">
        <v>34</v>
      </c>
      <c r="F462" s="7" t="s">
        <v>35</v>
      </c>
      <c r="G462" s="110"/>
      <c r="H462" s="111"/>
    </row>
    <row r="463" spans="1:8" ht="15.75" hidden="1" thickBot="1" x14ac:dyDescent="0.3">
      <c r="A463" s="24">
        <v>1</v>
      </c>
      <c r="B463" s="7">
        <v>2</v>
      </c>
      <c r="C463" s="11">
        <v>3</v>
      </c>
      <c r="D463" s="7">
        <v>4</v>
      </c>
      <c r="E463" s="11">
        <v>5</v>
      </c>
      <c r="F463" s="7">
        <v>6</v>
      </c>
      <c r="G463" s="96" t="s">
        <v>37</v>
      </c>
      <c r="H463" s="97"/>
    </row>
    <row r="464" spans="1:8" ht="60.75" hidden="1" thickBot="1" x14ac:dyDescent="0.3">
      <c r="A464" s="2" t="s">
        <v>7</v>
      </c>
      <c r="B464" s="6">
        <f>B465</f>
        <v>70345.600000000006</v>
      </c>
      <c r="C464" s="12"/>
      <c r="D464" s="6">
        <f>D465</f>
        <v>22214.399999999994</v>
      </c>
      <c r="E464" s="8" t="s">
        <v>8</v>
      </c>
      <c r="F464" s="8" t="s">
        <v>8</v>
      </c>
      <c r="G464" s="90">
        <f>97111-1349-3202</f>
        <v>92560</v>
      </c>
      <c r="H464" s="91"/>
    </row>
    <row r="465" spans="1:9" ht="15.75" hidden="1" thickBot="1" x14ac:dyDescent="0.3">
      <c r="A465" s="3" t="s">
        <v>9</v>
      </c>
      <c r="B465" s="6">
        <f>G465*76%</f>
        <v>70345.600000000006</v>
      </c>
      <c r="C465" s="12"/>
      <c r="D465" s="26">
        <f>G465-B465</f>
        <v>22214.399999999994</v>
      </c>
      <c r="E465" s="8" t="s">
        <v>8</v>
      </c>
      <c r="F465" s="8" t="s">
        <v>8</v>
      </c>
      <c r="G465" s="90">
        <f>G464-G466</f>
        <v>92560</v>
      </c>
      <c r="H465" s="91"/>
    </row>
    <row r="466" spans="1:9" ht="15.75" hidden="1" thickBot="1" x14ac:dyDescent="0.3">
      <c r="A466" s="2" t="s">
        <v>10</v>
      </c>
      <c r="B466" s="6">
        <v>0</v>
      </c>
      <c r="C466" s="12"/>
      <c r="D466" s="6">
        <v>0</v>
      </c>
      <c r="E466" s="8" t="s">
        <v>8</v>
      </c>
      <c r="F466" s="8" t="s">
        <v>8</v>
      </c>
      <c r="G466" s="90"/>
      <c r="H466" s="91"/>
    </row>
    <row r="467" spans="1:9" ht="60.75" hidden="1" thickBot="1" x14ac:dyDescent="0.3">
      <c r="A467" s="2" t="s">
        <v>11</v>
      </c>
      <c r="B467" s="6">
        <f>G467*76%</f>
        <v>18730.96</v>
      </c>
      <c r="C467" s="12"/>
      <c r="D467" s="26">
        <f>G467-B467</f>
        <v>5915.0400000000009</v>
      </c>
      <c r="E467" s="8" t="s">
        <v>8</v>
      </c>
      <c r="F467" s="8" t="s">
        <v>8</v>
      </c>
      <c r="G467" s="90">
        <f>24929-283</f>
        <v>24646</v>
      </c>
      <c r="H467" s="91"/>
    </row>
    <row r="468" spans="1:9" ht="30.75" hidden="1" thickBot="1" x14ac:dyDescent="0.3">
      <c r="A468" s="2" t="s">
        <v>12</v>
      </c>
      <c r="B468" s="6">
        <f>G468*76%</f>
        <v>3673.84</v>
      </c>
      <c r="C468" s="12"/>
      <c r="D468" s="26">
        <f>G468-B468</f>
        <v>1160.1599999999999</v>
      </c>
      <c r="E468" s="8" t="s">
        <v>8</v>
      </c>
      <c r="F468" s="8" t="s">
        <v>8</v>
      </c>
      <c r="G468" s="90">
        <f>283+1349+3202</f>
        <v>4834</v>
      </c>
      <c r="H468" s="91"/>
      <c r="I468" s="10">
        <f>G468+G467+G464</f>
        <v>122040</v>
      </c>
    </row>
    <row r="469" spans="1:9" ht="15.75" hidden="1" thickBot="1" x14ac:dyDescent="0.3">
      <c r="A469" s="2" t="s">
        <v>13</v>
      </c>
      <c r="B469" s="6">
        <f>G469*56%</f>
        <v>0</v>
      </c>
      <c r="C469" s="6"/>
      <c r="D469" s="26">
        <f>G469-B469</f>
        <v>0</v>
      </c>
      <c r="E469" s="8" t="s">
        <v>8</v>
      </c>
      <c r="F469" s="8" t="s">
        <v>8</v>
      </c>
      <c r="G469" s="90">
        <v>0</v>
      </c>
      <c r="H469" s="91"/>
      <c r="I469">
        <f>92305</f>
        <v>92305</v>
      </c>
    </row>
    <row r="470" spans="1:9" ht="30.75" hidden="1" thickBot="1" x14ac:dyDescent="0.3">
      <c r="A470" s="2" t="s">
        <v>14</v>
      </c>
      <c r="B470" s="6">
        <f>G470*56%</f>
        <v>1495.2</v>
      </c>
      <c r="C470" s="6"/>
      <c r="D470" s="26">
        <f>G470-B470</f>
        <v>1174.8</v>
      </c>
      <c r="E470" s="8" t="s">
        <v>8</v>
      </c>
      <c r="F470" s="8" t="s">
        <v>8</v>
      </c>
      <c r="G470" s="90">
        <v>2670</v>
      </c>
      <c r="H470" s="91"/>
      <c r="I470" s="10">
        <f>I469-I468</f>
        <v>-29735</v>
      </c>
    </row>
    <row r="471" spans="1:9" ht="45.75" hidden="1" thickBot="1" x14ac:dyDescent="0.3">
      <c r="A471" s="2" t="s">
        <v>15</v>
      </c>
      <c r="B471" s="8" t="s">
        <v>8</v>
      </c>
      <c r="C471" s="8" t="s">
        <v>8</v>
      </c>
      <c r="D471" s="6"/>
      <c r="E471" s="8" t="s">
        <v>8</v>
      </c>
      <c r="F471" s="8" t="s">
        <v>8</v>
      </c>
      <c r="G471" s="90"/>
      <c r="H471" s="91"/>
    </row>
    <row r="472" spans="1:9" ht="15.75" hidden="1" thickBot="1" x14ac:dyDescent="0.3">
      <c r="A472" s="2" t="s">
        <v>16</v>
      </c>
      <c r="B472" s="8" t="s">
        <v>8</v>
      </c>
      <c r="C472" s="8" t="s">
        <v>8</v>
      </c>
      <c r="D472" s="12"/>
      <c r="E472" s="6">
        <v>0</v>
      </c>
      <c r="F472" s="6"/>
      <c r="G472" s="90">
        <v>9000</v>
      </c>
      <c r="H472" s="91"/>
    </row>
    <row r="473" spans="1:9" ht="15.75" hidden="1" thickBot="1" x14ac:dyDescent="0.3">
      <c r="A473" s="3" t="s">
        <v>17</v>
      </c>
      <c r="B473" s="6">
        <f>G473*56%</f>
        <v>0</v>
      </c>
      <c r="C473" s="8"/>
      <c r="D473" s="6"/>
      <c r="E473" s="6">
        <f>G473-B473</f>
        <v>0</v>
      </c>
      <c r="F473" s="6"/>
      <c r="G473" s="90">
        <v>0</v>
      </c>
      <c r="H473" s="91"/>
    </row>
    <row r="474" spans="1:9" ht="15.75" hidden="1" thickBot="1" x14ac:dyDescent="0.3">
      <c r="A474" s="3" t="s">
        <v>18</v>
      </c>
      <c r="B474" s="6"/>
      <c r="C474" s="8"/>
      <c r="D474" s="8"/>
      <c r="E474" s="6"/>
      <c r="F474" s="6"/>
      <c r="G474" s="90"/>
      <c r="H474" s="91"/>
    </row>
    <row r="475" spans="1:9" ht="45.75" hidden="1" thickBot="1" x14ac:dyDescent="0.3">
      <c r="A475" s="2" t="s">
        <v>19</v>
      </c>
      <c r="B475" s="6"/>
      <c r="C475" s="8"/>
      <c r="D475" s="6"/>
      <c r="E475" s="6"/>
      <c r="F475" s="6"/>
      <c r="G475" s="94"/>
      <c r="H475" s="95"/>
    </row>
    <row r="476" spans="1:9" ht="45.75" hidden="1" thickBot="1" x14ac:dyDescent="0.3">
      <c r="A476" s="2" t="s">
        <v>20</v>
      </c>
      <c r="B476" s="6">
        <f>G476*56%</f>
        <v>36.96</v>
      </c>
      <c r="C476" s="8"/>
      <c r="D476" s="6"/>
      <c r="E476" s="6">
        <f>G476-B476</f>
        <v>29.04</v>
      </c>
      <c r="F476" s="6"/>
      <c r="G476" s="90">
        <v>66</v>
      </c>
      <c r="H476" s="91"/>
    </row>
    <row r="477" spans="1:9" ht="30.75" hidden="1" thickBot="1" x14ac:dyDescent="0.3">
      <c r="A477" s="2" t="s">
        <v>21</v>
      </c>
      <c r="B477" s="6">
        <f>G477*56%</f>
        <v>2320.6400000000003</v>
      </c>
      <c r="C477" s="6"/>
      <c r="D477" s="26">
        <f>G477-B477</f>
        <v>1823.3599999999997</v>
      </c>
      <c r="E477" s="8" t="s">
        <v>8</v>
      </c>
      <c r="F477" s="8" t="s">
        <v>8</v>
      </c>
      <c r="G477" s="90">
        <f>3692+294+158</f>
        <v>4144</v>
      </c>
      <c r="H477" s="91"/>
    </row>
    <row r="478" spans="1:9" ht="15.75" hidden="1" thickBot="1" x14ac:dyDescent="0.3">
      <c r="A478" s="3" t="s">
        <v>22</v>
      </c>
      <c r="B478" s="6">
        <f>G478*56%</f>
        <v>207.76000000000002</v>
      </c>
      <c r="C478" s="6"/>
      <c r="D478" s="26">
        <f>G478-B478</f>
        <v>163.23999999999998</v>
      </c>
      <c r="E478" s="8" t="s">
        <v>8</v>
      </c>
      <c r="F478" s="8" t="s">
        <v>8</v>
      </c>
      <c r="G478" s="90">
        <f>353+18</f>
        <v>371</v>
      </c>
      <c r="H478" s="91"/>
    </row>
    <row r="479" spans="1:9" ht="15.75" hidden="1" thickBot="1" x14ac:dyDescent="0.3">
      <c r="A479" s="3" t="s">
        <v>23</v>
      </c>
      <c r="B479" s="8" t="s">
        <v>8</v>
      </c>
      <c r="C479" s="12"/>
      <c r="D479" s="8" t="s">
        <v>8</v>
      </c>
      <c r="E479" s="8" t="s">
        <v>8</v>
      </c>
      <c r="F479" s="8" t="s">
        <v>8</v>
      </c>
      <c r="G479" s="94"/>
      <c r="H479" s="95"/>
    </row>
    <row r="480" spans="1:9" ht="15.75" hidden="1" thickBot="1" x14ac:dyDescent="0.3">
      <c r="A480" s="3" t="s">
        <v>24</v>
      </c>
      <c r="B480" s="6">
        <f>G480*56%</f>
        <v>0</v>
      </c>
      <c r="C480" s="6"/>
      <c r="D480" s="6"/>
      <c r="E480" s="8" t="s">
        <v>8</v>
      </c>
      <c r="F480" s="8" t="s">
        <v>8</v>
      </c>
      <c r="G480" s="90"/>
      <c r="H480" s="91"/>
    </row>
    <row r="481" spans="1:8" ht="15.75" hidden="1" thickBot="1" x14ac:dyDescent="0.3">
      <c r="A481" s="4" t="s">
        <v>25</v>
      </c>
      <c r="B481" s="6">
        <f>SUM(B465:B480)</f>
        <v>96810.959999999992</v>
      </c>
      <c r="C481" s="6"/>
      <c r="D481" s="6">
        <f>SUM(D465:D480)</f>
        <v>32450.999999999996</v>
      </c>
      <c r="E481" s="6">
        <f>SUM(E465:E480)</f>
        <v>29.04</v>
      </c>
      <c r="F481" s="6"/>
      <c r="G481" s="90">
        <f>SUM(G465:H480)</f>
        <v>138291</v>
      </c>
      <c r="H481" s="91"/>
    </row>
    <row r="482" spans="1:8" hidden="1" x14ac:dyDescent="0.25">
      <c r="A482" s="92" t="s">
        <v>26</v>
      </c>
      <c r="B482" s="92"/>
      <c r="C482" s="92"/>
      <c r="D482" s="92"/>
      <c r="E482" s="92"/>
      <c r="F482" s="92"/>
      <c r="G482" s="92"/>
      <c r="H482" s="92"/>
    </row>
    <row r="483" spans="1:8" hidden="1" x14ac:dyDescent="0.25">
      <c r="A483" s="93" t="s">
        <v>27</v>
      </c>
      <c r="B483" s="93"/>
      <c r="C483" s="93"/>
      <c r="D483" s="93"/>
      <c r="E483" s="93"/>
      <c r="F483" s="93"/>
      <c r="G483" s="93"/>
      <c r="H483" s="93"/>
    </row>
    <row r="484" spans="1:8" hidden="1" x14ac:dyDescent="0.25">
      <c r="A484" s="93" t="s">
        <v>28</v>
      </c>
      <c r="B484" s="93"/>
      <c r="C484" s="93"/>
      <c r="D484" s="93"/>
      <c r="E484" s="93"/>
      <c r="F484" s="93"/>
      <c r="G484" s="93"/>
      <c r="H484" s="93"/>
    </row>
    <row r="485" spans="1:8" hidden="1" x14ac:dyDescent="0.25">
      <c r="A485" s="1"/>
      <c r="B485" s="9"/>
      <c r="C485" s="9"/>
      <c r="D485" s="9"/>
      <c r="E485" s="9"/>
      <c r="F485" s="9"/>
      <c r="G485" s="9"/>
      <c r="H485" s="9"/>
    </row>
    <row r="486" spans="1:8" ht="15.75" hidden="1" x14ac:dyDescent="0.25">
      <c r="A486" s="5"/>
    </row>
    <row r="487" spans="1:8" hidden="1" x14ac:dyDescent="0.25">
      <c r="B487" s="13" t="s">
        <v>41</v>
      </c>
      <c r="C487" s="13">
        <v>124171</v>
      </c>
    </row>
    <row r="488" spans="1:8" hidden="1" x14ac:dyDescent="0.25">
      <c r="C488" s="10">
        <f>C487-B481</f>
        <v>27360.040000000008</v>
      </c>
    </row>
    <row r="489" spans="1:8" hidden="1" x14ac:dyDescent="0.25"/>
    <row r="490" spans="1:8" hidden="1" x14ac:dyDescent="0.25">
      <c r="A490" s="22"/>
      <c r="B490" s="23"/>
      <c r="C490" s="23"/>
      <c r="D490" s="23"/>
      <c r="E490" s="112" t="s">
        <v>29</v>
      </c>
      <c r="F490" s="112"/>
      <c r="G490" s="112"/>
      <c r="H490" s="112"/>
    </row>
    <row r="491" spans="1:8" hidden="1" x14ac:dyDescent="0.25">
      <c r="A491" s="113"/>
      <c r="B491" s="114"/>
      <c r="C491" s="114"/>
      <c r="D491" s="115"/>
      <c r="E491" s="115" t="s">
        <v>0</v>
      </c>
      <c r="F491" s="115"/>
      <c r="G491" s="115"/>
      <c r="H491" s="115"/>
    </row>
    <row r="492" spans="1:8" hidden="1" x14ac:dyDescent="0.25">
      <c r="A492" s="113"/>
      <c r="B492" s="114"/>
      <c r="C492" s="114"/>
      <c r="D492" s="115"/>
      <c r="E492" s="115" t="s">
        <v>1</v>
      </c>
      <c r="F492" s="115"/>
      <c r="G492" s="115"/>
      <c r="H492" s="115"/>
    </row>
    <row r="493" spans="1:8" ht="15.75" hidden="1" thickBot="1" x14ac:dyDescent="0.3">
      <c r="A493" s="98" t="s">
        <v>76</v>
      </c>
      <c r="B493" s="98"/>
      <c r="C493" s="98"/>
      <c r="D493" s="98"/>
      <c r="E493" s="98"/>
      <c r="F493" s="98"/>
      <c r="G493" s="99"/>
      <c r="H493" s="99"/>
    </row>
    <row r="494" spans="1:8" ht="15.75" hidden="1" thickBot="1" x14ac:dyDescent="0.3">
      <c r="A494" s="100" t="s">
        <v>2</v>
      </c>
      <c r="B494" s="103" t="s">
        <v>30</v>
      </c>
      <c r="C494" s="104"/>
      <c r="D494" s="104"/>
      <c r="E494" s="104"/>
      <c r="F494" s="104"/>
      <c r="G494" s="105" t="s">
        <v>3</v>
      </c>
      <c r="H494" s="106"/>
    </row>
    <row r="495" spans="1:8" ht="105.75" hidden="1" thickBot="1" x14ac:dyDescent="0.3">
      <c r="A495" s="101"/>
      <c r="B495" s="96" t="s">
        <v>30</v>
      </c>
      <c r="C495" s="107"/>
      <c r="D495" s="25" t="s">
        <v>32</v>
      </c>
      <c r="E495" s="107" t="s">
        <v>4</v>
      </c>
      <c r="F495" s="97"/>
      <c r="G495" s="108"/>
      <c r="H495" s="109"/>
    </row>
    <row r="496" spans="1:8" ht="150.75" hidden="1" thickBot="1" x14ac:dyDescent="0.3">
      <c r="A496" s="102"/>
      <c r="B496" s="7" t="s">
        <v>36</v>
      </c>
      <c r="C496" s="7" t="s">
        <v>5</v>
      </c>
      <c r="D496" s="7" t="s">
        <v>33</v>
      </c>
      <c r="E496" s="7" t="s">
        <v>34</v>
      </c>
      <c r="F496" s="7" t="s">
        <v>35</v>
      </c>
      <c r="G496" s="110"/>
      <c r="H496" s="111"/>
    </row>
    <row r="497" spans="1:8" ht="15.75" hidden="1" thickBot="1" x14ac:dyDescent="0.3">
      <c r="A497" s="24">
        <v>1</v>
      </c>
      <c r="B497" s="7">
        <v>2</v>
      </c>
      <c r="C497" s="11">
        <v>3</v>
      </c>
      <c r="D497" s="7">
        <v>4</v>
      </c>
      <c r="E497" s="11">
        <v>5</v>
      </c>
      <c r="F497" s="7">
        <v>6</v>
      </c>
      <c r="G497" s="96" t="s">
        <v>37</v>
      </c>
      <c r="H497" s="97"/>
    </row>
    <row r="498" spans="1:8" ht="60.75" hidden="1" thickBot="1" x14ac:dyDescent="0.3">
      <c r="A498" s="2" t="s">
        <v>7</v>
      </c>
      <c r="B498" s="6">
        <f>B499</f>
        <v>77744.960000000006</v>
      </c>
      <c r="C498" s="12"/>
      <c r="D498" s="6">
        <f>D499</f>
        <v>24551.039999999994</v>
      </c>
      <c r="E498" s="8" t="s">
        <v>8</v>
      </c>
      <c r="F498" s="8" t="s">
        <v>8</v>
      </c>
      <c r="G498" s="90">
        <f>106982-1377-3309</f>
        <v>102296</v>
      </c>
      <c r="H498" s="91"/>
    </row>
    <row r="499" spans="1:8" ht="15.75" hidden="1" thickBot="1" x14ac:dyDescent="0.3">
      <c r="A499" s="3" t="s">
        <v>9</v>
      </c>
      <c r="B499" s="6">
        <f>G499*76%</f>
        <v>77744.960000000006</v>
      </c>
      <c r="C499" s="12"/>
      <c r="D499" s="26">
        <f>G499-B499</f>
        <v>24551.039999999994</v>
      </c>
      <c r="E499" s="8" t="s">
        <v>8</v>
      </c>
      <c r="F499" s="8" t="s">
        <v>8</v>
      </c>
      <c r="G499" s="90">
        <f>G498-G500</f>
        <v>102296</v>
      </c>
      <c r="H499" s="91"/>
    </row>
    <row r="500" spans="1:8" ht="15.75" hidden="1" thickBot="1" x14ac:dyDescent="0.3">
      <c r="A500" s="2" t="s">
        <v>10</v>
      </c>
      <c r="B500" s="6">
        <v>0</v>
      </c>
      <c r="C500" s="12"/>
      <c r="D500" s="6">
        <v>0</v>
      </c>
      <c r="E500" s="8" t="s">
        <v>8</v>
      </c>
      <c r="F500" s="8" t="s">
        <v>8</v>
      </c>
      <c r="G500" s="90"/>
      <c r="H500" s="91"/>
    </row>
    <row r="501" spans="1:8" ht="60.75" hidden="1" thickBot="1" x14ac:dyDescent="0.3">
      <c r="A501" s="2" t="s">
        <v>11</v>
      </c>
      <c r="B501" s="6">
        <f>G501*76%</f>
        <v>21323.32</v>
      </c>
      <c r="C501" s="12"/>
      <c r="D501" s="26">
        <f>G501-B501</f>
        <v>6733.68</v>
      </c>
      <c r="E501" s="8" t="s">
        <v>8</v>
      </c>
      <c r="F501" s="8" t="s">
        <v>8</v>
      </c>
      <c r="G501" s="90">
        <f>28881-526-298</f>
        <v>28057</v>
      </c>
      <c r="H501" s="91"/>
    </row>
    <row r="502" spans="1:8" ht="30.75" hidden="1" thickBot="1" x14ac:dyDescent="0.3">
      <c r="A502" s="2" t="s">
        <v>12</v>
      </c>
      <c r="B502" s="6">
        <f>G502*76%</f>
        <v>4187.6000000000004</v>
      </c>
      <c r="C502" s="12"/>
      <c r="D502" s="26">
        <f>G502-B502</f>
        <v>1322.3999999999996</v>
      </c>
      <c r="E502" s="8" t="s">
        <v>8</v>
      </c>
      <c r="F502" s="8" t="s">
        <v>8</v>
      </c>
      <c r="G502" s="90">
        <f>3309+1377+526+298</f>
        <v>5510</v>
      </c>
      <c r="H502" s="91"/>
    </row>
    <row r="503" spans="1:8" ht="15.75" hidden="1" thickBot="1" x14ac:dyDescent="0.3">
      <c r="A503" s="2" t="s">
        <v>13</v>
      </c>
      <c r="B503" s="6">
        <f>G503*56%</f>
        <v>0</v>
      </c>
      <c r="C503" s="6"/>
      <c r="D503" s="26">
        <f>G503-B503</f>
        <v>0</v>
      </c>
      <c r="E503" s="8" t="s">
        <v>8</v>
      </c>
      <c r="F503" s="8" t="s">
        <v>8</v>
      </c>
      <c r="G503" s="90">
        <v>0</v>
      </c>
      <c r="H503" s="91"/>
    </row>
    <row r="504" spans="1:8" ht="30.75" hidden="1" thickBot="1" x14ac:dyDescent="0.3">
      <c r="A504" s="2" t="s">
        <v>14</v>
      </c>
      <c r="B504" s="6">
        <f>G504*56%</f>
        <v>1495.2</v>
      </c>
      <c r="C504" s="6"/>
      <c r="D504" s="26">
        <f>G504-B504</f>
        <v>1174.8</v>
      </c>
      <c r="E504" s="8" t="s">
        <v>8</v>
      </c>
      <c r="F504" s="8" t="s">
        <v>8</v>
      </c>
      <c r="G504" s="90">
        <v>2670</v>
      </c>
      <c r="H504" s="91"/>
    </row>
    <row r="505" spans="1:8" ht="45.75" hidden="1" thickBot="1" x14ac:dyDescent="0.3">
      <c r="A505" s="2" t="s">
        <v>15</v>
      </c>
      <c r="B505" s="8" t="s">
        <v>8</v>
      </c>
      <c r="C505" s="8" t="s">
        <v>8</v>
      </c>
      <c r="D505" s="6"/>
      <c r="E505" s="8" t="s">
        <v>8</v>
      </c>
      <c r="F505" s="8" t="s">
        <v>8</v>
      </c>
      <c r="G505" s="90"/>
      <c r="H505" s="91"/>
    </row>
    <row r="506" spans="1:8" ht="15.75" hidden="1" thickBot="1" x14ac:dyDescent="0.3">
      <c r="A506" s="2" t="s">
        <v>16</v>
      </c>
      <c r="B506" s="8" t="s">
        <v>8</v>
      </c>
      <c r="C506" s="8" t="s">
        <v>8</v>
      </c>
      <c r="D506" s="12"/>
      <c r="E506" s="6">
        <v>0</v>
      </c>
      <c r="F506" s="6"/>
      <c r="G506" s="90">
        <v>10500</v>
      </c>
      <c r="H506" s="91"/>
    </row>
    <row r="507" spans="1:8" ht="15.75" hidden="1" thickBot="1" x14ac:dyDescent="0.3">
      <c r="A507" s="3" t="s">
        <v>17</v>
      </c>
      <c r="B507" s="6">
        <f>G507*56%</f>
        <v>0</v>
      </c>
      <c r="C507" s="8"/>
      <c r="D507" s="6"/>
      <c r="E507" s="6">
        <f>G507-B507</f>
        <v>0</v>
      </c>
      <c r="F507" s="6"/>
      <c r="G507" s="90">
        <v>0</v>
      </c>
      <c r="H507" s="91"/>
    </row>
    <row r="508" spans="1:8" ht="15.75" hidden="1" thickBot="1" x14ac:dyDescent="0.3">
      <c r="A508" s="3" t="s">
        <v>18</v>
      </c>
      <c r="B508" s="6"/>
      <c r="C508" s="8"/>
      <c r="D508" s="8"/>
      <c r="E508" s="6"/>
      <c r="F508" s="6"/>
      <c r="G508" s="90"/>
      <c r="H508" s="91"/>
    </row>
    <row r="509" spans="1:8" ht="45.75" hidden="1" thickBot="1" x14ac:dyDescent="0.3">
      <c r="A509" s="2" t="s">
        <v>19</v>
      </c>
      <c r="B509" s="6"/>
      <c r="C509" s="8"/>
      <c r="D509" s="6"/>
      <c r="E509" s="6"/>
      <c r="F509" s="6"/>
      <c r="G509" s="94"/>
      <c r="H509" s="95"/>
    </row>
    <row r="510" spans="1:8" ht="45.75" hidden="1" thickBot="1" x14ac:dyDescent="0.3">
      <c r="A510" s="2" t="s">
        <v>20</v>
      </c>
      <c r="B510" s="6">
        <f>G510*56%</f>
        <v>43.120000000000005</v>
      </c>
      <c r="C510" s="8"/>
      <c r="D510" s="6"/>
      <c r="E510" s="6">
        <f>G510-B510</f>
        <v>33.879999999999995</v>
      </c>
      <c r="F510" s="6"/>
      <c r="G510" s="90">
        <v>77</v>
      </c>
      <c r="H510" s="91"/>
    </row>
    <row r="511" spans="1:8" ht="30.75" hidden="1" thickBot="1" x14ac:dyDescent="0.3">
      <c r="A511" s="2" t="s">
        <v>21</v>
      </c>
      <c r="B511" s="6">
        <f>G511*56%</f>
        <v>2531.7600000000002</v>
      </c>
      <c r="C511" s="6"/>
      <c r="D511" s="26">
        <f>G511-B511</f>
        <v>1989.2399999999998</v>
      </c>
      <c r="E511" s="8" t="s">
        <v>8</v>
      </c>
      <c r="F511" s="8" t="s">
        <v>8</v>
      </c>
      <c r="G511" s="90">
        <f>294+4069+158</f>
        <v>4521</v>
      </c>
      <c r="H511" s="91"/>
    </row>
    <row r="512" spans="1:8" ht="15.75" hidden="1" thickBot="1" x14ac:dyDescent="0.3">
      <c r="A512" s="3" t="s">
        <v>22</v>
      </c>
      <c r="B512" s="6">
        <f>G512*56%</f>
        <v>219.52</v>
      </c>
      <c r="C512" s="6"/>
      <c r="D512" s="26">
        <f>G512-B512</f>
        <v>172.48</v>
      </c>
      <c r="E512" s="8" t="s">
        <v>8</v>
      </c>
      <c r="F512" s="8" t="s">
        <v>8</v>
      </c>
      <c r="G512" s="90">
        <f>18+374</f>
        <v>392</v>
      </c>
      <c r="H512" s="91"/>
    </row>
    <row r="513" spans="1:8" ht="15.75" hidden="1" thickBot="1" x14ac:dyDescent="0.3">
      <c r="A513" s="3" t="s">
        <v>23</v>
      </c>
      <c r="B513" s="8" t="s">
        <v>8</v>
      </c>
      <c r="C513" s="12"/>
      <c r="D513" s="8" t="s">
        <v>8</v>
      </c>
      <c r="E513" s="8" t="s">
        <v>8</v>
      </c>
      <c r="F513" s="8" t="s">
        <v>8</v>
      </c>
      <c r="G513" s="94"/>
      <c r="H513" s="95"/>
    </row>
    <row r="514" spans="1:8" ht="15.75" hidden="1" thickBot="1" x14ac:dyDescent="0.3">
      <c r="A514" s="3" t="s">
        <v>24</v>
      </c>
      <c r="B514" s="6">
        <f>G514*56%</f>
        <v>0</v>
      </c>
      <c r="C514" s="6"/>
      <c r="D514" s="6"/>
      <c r="E514" s="8" t="s">
        <v>8</v>
      </c>
      <c r="F514" s="8" t="s">
        <v>8</v>
      </c>
      <c r="G514" s="90"/>
      <c r="H514" s="91"/>
    </row>
    <row r="515" spans="1:8" ht="15.75" hidden="1" thickBot="1" x14ac:dyDescent="0.3">
      <c r="A515" s="4" t="s">
        <v>25</v>
      </c>
      <c r="B515" s="6">
        <f>SUM(B499:B514)</f>
        <v>107545.48</v>
      </c>
      <c r="C515" s="6"/>
      <c r="D515" s="6">
        <f>SUM(D499:D514)</f>
        <v>35943.64</v>
      </c>
      <c r="E515" s="6">
        <f>SUM(E499:E514)</f>
        <v>33.879999999999995</v>
      </c>
      <c r="F515" s="6"/>
      <c r="G515" s="90">
        <f>SUM(G499:H514)</f>
        <v>154023</v>
      </c>
      <c r="H515" s="91"/>
    </row>
    <row r="516" spans="1:8" hidden="1" x14ac:dyDescent="0.25">
      <c r="A516" s="92" t="s">
        <v>26</v>
      </c>
      <c r="B516" s="92"/>
      <c r="C516" s="92"/>
      <c r="D516" s="92"/>
      <c r="E516" s="92"/>
      <c r="F516" s="92"/>
      <c r="G516" s="92"/>
      <c r="H516" s="92"/>
    </row>
    <row r="517" spans="1:8" hidden="1" x14ac:dyDescent="0.25">
      <c r="A517" s="93" t="s">
        <v>27</v>
      </c>
      <c r="B517" s="93"/>
      <c r="C517" s="93"/>
      <c r="D517" s="93"/>
      <c r="E517" s="93"/>
      <c r="F517" s="93"/>
      <c r="G517" s="93"/>
      <c r="H517" s="93"/>
    </row>
    <row r="518" spans="1:8" hidden="1" x14ac:dyDescent="0.25">
      <c r="A518" s="93" t="s">
        <v>28</v>
      </c>
      <c r="B518" s="93"/>
      <c r="C518" s="93"/>
      <c r="D518" s="93"/>
      <c r="E518" s="93"/>
      <c r="F518" s="93"/>
      <c r="G518" s="93"/>
      <c r="H518" s="93"/>
    </row>
    <row r="519" spans="1:8" hidden="1" x14ac:dyDescent="0.25">
      <c r="A519" s="1"/>
      <c r="B519" s="9"/>
      <c r="C519" s="9"/>
      <c r="D519" s="9"/>
      <c r="E519" s="9"/>
      <c r="F519" s="9"/>
      <c r="G519" s="9"/>
      <c r="H519" s="9"/>
    </row>
    <row r="520" spans="1:8" ht="15.75" hidden="1" x14ac:dyDescent="0.25">
      <c r="A520" s="5"/>
    </row>
    <row r="521" spans="1:8" hidden="1" x14ac:dyDescent="0.25">
      <c r="B521" s="13" t="s">
        <v>77</v>
      </c>
      <c r="C521" s="13">
        <v>139226</v>
      </c>
    </row>
    <row r="522" spans="1:8" hidden="1" x14ac:dyDescent="0.25">
      <c r="C522" s="10">
        <f>C521-B515</f>
        <v>31680.520000000004</v>
      </c>
    </row>
    <row r="523" spans="1:8" hidden="1" x14ac:dyDescent="0.25"/>
    <row r="524" spans="1:8" hidden="1" x14ac:dyDescent="0.25"/>
    <row r="525" spans="1:8" hidden="1" x14ac:dyDescent="0.25">
      <c r="A525" s="22"/>
      <c r="B525" s="23"/>
      <c r="C525" s="23"/>
      <c r="D525" s="23"/>
      <c r="E525" s="112" t="s">
        <v>29</v>
      </c>
      <c r="F525" s="112"/>
      <c r="G525" s="112"/>
      <c r="H525" s="112"/>
    </row>
    <row r="526" spans="1:8" hidden="1" x14ac:dyDescent="0.25">
      <c r="A526" s="113"/>
      <c r="B526" s="114"/>
      <c r="C526" s="114"/>
      <c r="D526" s="115"/>
      <c r="E526" s="115" t="s">
        <v>0</v>
      </c>
      <c r="F526" s="115"/>
      <c r="G526" s="115"/>
      <c r="H526" s="115"/>
    </row>
    <row r="527" spans="1:8" hidden="1" x14ac:dyDescent="0.25">
      <c r="A527" s="113"/>
      <c r="B527" s="114"/>
      <c r="C527" s="114"/>
      <c r="D527" s="115"/>
      <c r="E527" s="115" t="s">
        <v>1</v>
      </c>
      <c r="F527" s="115"/>
      <c r="G527" s="115"/>
      <c r="H527" s="115"/>
    </row>
    <row r="528" spans="1:8" ht="15.75" hidden="1" thickBot="1" x14ac:dyDescent="0.3">
      <c r="A528" s="98" t="s">
        <v>78</v>
      </c>
      <c r="B528" s="98"/>
      <c r="C528" s="98"/>
      <c r="D528" s="98"/>
      <c r="E528" s="98"/>
      <c r="F528" s="98"/>
      <c r="G528" s="99"/>
      <c r="H528" s="99"/>
    </row>
    <row r="529" spans="1:8" ht="15.75" hidden="1" thickBot="1" x14ac:dyDescent="0.3">
      <c r="A529" s="100" t="s">
        <v>2</v>
      </c>
      <c r="B529" s="103" t="s">
        <v>30</v>
      </c>
      <c r="C529" s="104"/>
      <c r="D529" s="104"/>
      <c r="E529" s="104"/>
      <c r="F529" s="104"/>
      <c r="G529" s="105" t="s">
        <v>3</v>
      </c>
      <c r="H529" s="106"/>
    </row>
    <row r="530" spans="1:8" ht="105.75" hidden="1" thickBot="1" x14ac:dyDescent="0.3">
      <c r="A530" s="101"/>
      <c r="B530" s="96" t="s">
        <v>30</v>
      </c>
      <c r="C530" s="107"/>
      <c r="D530" s="25" t="s">
        <v>32</v>
      </c>
      <c r="E530" s="107" t="s">
        <v>4</v>
      </c>
      <c r="F530" s="97"/>
      <c r="G530" s="108"/>
      <c r="H530" s="109"/>
    </row>
    <row r="531" spans="1:8" ht="150.75" hidden="1" thickBot="1" x14ac:dyDescent="0.3">
      <c r="A531" s="102"/>
      <c r="B531" s="7" t="s">
        <v>36</v>
      </c>
      <c r="C531" s="7" t="s">
        <v>5</v>
      </c>
      <c r="D531" s="7" t="s">
        <v>33</v>
      </c>
      <c r="E531" s="7" t="s">
        <v>34</v>
      </c>
      <c r="F531" s="7" t="s">
        <v>35</v>
      </c>
      <c r="G531" s="110"/>
      <c r="H531" s="111"/>
    </row>
    <row r="532" spans="1:8" ht="15.75" hidden="1" thickBot="1" x14ac:dyDescent="0.3">
      <c r="A532" s="24">
        <v>1</v>
      </c>
      <c r="B532" s="7">
        <v>2</v>
      </c>
      <c r="C532" s="11">
        <v>3</v>
      </c>
      <c r="D532" s="7">
        <v>4</v>
      </c>
      <c r="E532" s="11">
        <v>5</v>
      </c>
      <c r="F532" s="7">
        <v>6</v>
      </c>
      <c r="G532" s="96" t="s">
        <v>37</v>
      </c>
      <c r="H532" s="97"/>
    </row>
    <row r="533" spans="1:8" ht="60.75" hidden="1" thickBot="1" x14ac:dyDescent="0.3">
      <c r="A533" s="2" t="s">
        <v>7</v>
      </c>
      <c r="B533" s="6">
        <f>B534</f>
        <v>85303.92</v>
      </c>
      <c r="C533" s="12"/>
      <c r="D533" s="6">
        <f>D534</f>
        <v>26938.080000000002</v>
      </c>
      <c r="E533" s="8" t="s">
        <v>8</v>
      </c>
      <c r="F533" s="8" t="s">
        <v>8</v>
      </c>
      <c r="G533" s="90">
        <f>116946-1395-3309</f>
        <v>112242</v>
      </c>
      <c r="H533" s="91"/>
    </row>
    <row r="534" spans="1:8" ht="15.75" hidden="1" thickBot="1" x14ac:dyDescent="0.3">
      <c r="A534" s="3" t="s">
        <v>9</v>
      </c>
      <c r="B534" s="6">
        <f>G534*76%</f>
        <v>85303.92</v>
      </c>
      <c r="C534" s="12"/>
      <c r="D534" s="26">
        <f>G534-B534</f>
        <v>26938.080000000002</v>
      </c>
      <c r="E534" s="8" t="s">
        <v>8</v>
      </c>
      <c r="F534" s="8" t="s">
        <v>8</v>
      </c>
      <c r="G534" s="90">
        <f>G533-G535</f>
        <v>112242</v>
      </c>
      <c r="H534" s="91"/>
    </row>
    <row r="535" spans="1:8" ht="15.75" hidden="1" thickBot="1" x14ac:dyDescent="0.3">
      <c r="A535" s="2" t="s">
        <v>10</v>
      </c>
      <c r="B535" s="6">
        <v>0</v>
      </c>
      <c r="C535" s="12"/>
      <c r="D535" s="6">
        <v>0</v>
      </c>
      <c r="E535" s="8" t="s">
        <v>8</v>
      </c>
      <c r="F535" s="8" t="s">
        <v>8</v>
      </c>
      <c r="G535" s="90"/>
      <c r="H535" s="91"/>
    </row>
    <row r="536" spans="1:8" ht="60.75" hidden="1" thickBot="1" x14ac:dyDescent="0.3">
      <c r="A536" s="2" t="s">
        <v>11</v>
      </c>
      <c r="B536" s="6">
        <f>G536*76%</f>
        <v>24660.48</v>
      </c>
      <c r="C536" s="12"/>
      <c r="D536" s="26">
        <f>G536-B536</f>
        <v>7787.52</v>
      </c>
      <c r="E536" s="8" t="s">
        <v>8</v>
      </c>
      <c r="F536" s="8" t="s">
        <v>8</v>
      </c>
      <c r="G536" s="90">
        <f>32758-310</f>
        <v>32448</v>
      </c>
      <c r="H536" s="91"/>
    </row>
    <row r="537" spans="1:8" ht="30.75" hidden="1" thickBot="1" x14ac:dyDescent="0.3">
      <c r="A537" s="2" t="s">
        <v>12</v>
      </c>
      <c r="B537" s="6">
        <f>G537*76%</f>
        <v>3810.64</v>
      </c>
      <c r="C537" s="12"/>
      <c r="D537" s="26">
        <f>G537-B537</f>
        <v>1203.3600000000001</v>
      </c>
      <c r="E537" s="8" t="s">
        <v>8</v>
      </c>
      <c r="F537" s="8" t="s">
        <v>8</v>
      </c>
      <c r="G537" s="90">
        <f>1395+3309+310</f>
        <v>5014</v>
      </c>
      <c r="H537" s="91"/>
    </row>
    <row r="538" spans="1:8" ht="15.75" hidden="1" thickBot="1" x14ac:dyDescent="0.3">
      <c r="A538" s="2" t="s">
        <v>13</v>
      </c>
      <c r="B538" s="6">
        <f>G538*56%</f>
        <v>0</v>
      </c>
      <c r="C538" s="6"/>
      <c r="D538" s="26">
        <f>G538-B538</f>
        <v>0</v>
      </c>
      <c r="E538" s="8" t="s">
        <v>8</v>
      </c>
      <c r="F538" s="8" t="s">
        <v>8</v>
      </c>
      <c r="G538" s="90">
        <v>0</v>
      </c>
      <c r="H538" s="91"/>
    </row>
    <row r="539" spans="1:8" ht="30.75" hidden="1" thickBot="1" x14ac:dyDescent="0.3">
      <c r="A539" s="2" t="s">
        <v>14</v>
      </c>
      <c r="B539" s="6">
        <f>G539*56%</f>
        <v>1942.64</v>
      </c>
      <c r="C539" s="6"/>
      <c r="D539" s="26">
        <f>G539-B539</f>
        <v>1526.36</v>
      </c>
      <c r="E539" s="8" t="s">
        <v>8</v>
      </c>
      <c r="F539" s="8" t="s">
        <v>8</v>
      </c>
      <c r="G539" s="90">
        <v>3469</v>
      </c>
      <c r="H539" s="91"/>
    </row>
    <row r="540" spans="1:8" ht="45.75" hidden="1" thickBot="1" x14ac:dyDescent="0.3">
      <c r="A540" s="2" t="s">
        <v>15</v>
      </c>
      <c r="B540" s="8" t="s">
        <v>8</v>
      </c>
      <c r="C540" s="8" t="s">
        <v>8</v>
      </c>
      <c r="D540" s="6"/>
      <c r="E540" s="8" t="s">
        <v>8</v>
      </c>
      <c r="F540" s="8" t="s">
        <v>8</v>
      </c>
      <c r="G540" s="90"/>
      <c r="H540" s="91"/>
    </row>
    <row r="541" spans="1:8" ht="15.75" hidden="1" thickBot="1" x14ac:dyDescent="0.3">
      <c r="A541" s="2" t="s">
        <v>16</v>
      </c>
      <c r="B541" s="8" t="s">
        <v>8</v>
      </c>
      <c r="C541" s="8" t="s">
        <v>8</v>
      </c>
      <c r="D541" s="12"/>
      <c r="E541" s="6">
        <v>0</v>
      </c>
      <c r="F541" s="6"/>
      <c r="G541" s="90">
        <v>12000</v>
      </c>
      <c r="H541" s="91"/>
    </row>
    <row r="542" spans="1:8" ht="15.75" hidden="1" thickBot="1" x14ac:dyDescent="0.3">
      <c r="A542" s="3" t="s">
        <v>17</v>
      </c>
      <c r="B542" s="6">
        <f>G542*56%</f>
        <v>0</v>
      </c>
      <c r="C542" s="8"/>
      <c r="D542" s="6"/>
      <c r="E542" s="6">
        <f>G542-B542</f>
        <v>0</v>
      </c>
      <c r="F542" s="6"/>
      <c r="G542" s="90">
        <v>0</v>
      </c>
      <c r="H542" s="91"/>
    </row>
    <row r="543" spans="1:8" ht="15.75" hidden="1" thickBot="1" x14ac:dyDescent="0.3">
      <c r="A543" s="3" t="s">
        <v>18</v>
      </c>
      <c r="B543" s="6"/>
      <c r="C543" s="8"/>
      <c r="D543" s="8"/>
      <c r="E543" s="6"/>
      <c r="F543" s="6"/>
      <c r="G543" s="90"/>
      <c r="H543" s="91"/>
    </row>
    <row r="544" spans="1:8" ht="45.75" hidden="1" thickBot="1" x14ac:dyDescent="0.3">
      <c r="A544" s="2" t="s">
        <v>19</v>
      </c>
      <c r="B544" s="6"/>
      <c r="C544" s="8"/>
      <c r="D544" s="6"/>
      <c r="E544" s="6"/>
      <c r="F544" s="6"/>
      <c r="G544" s="94"/>
      <c r="H544" s="95"/>
    </row>
    <row r="545" spans="1:8" ht="45.75" hidden="1" thickBot="1" x14ac:dyDescent="0.3">
      <c r="A545" s="2" t="s">
        <v>20</v>
      </c>
      <c r="B545" s="6">
        <f>G545*56%</f>
        <v>49.28</v>
      </c>
      <c r="C545" s="8"/>
      <c r="D545" s="6"/>
      <c r="E545" s="6">
        <f>G545-B545</f>
        <v>38.72</v>
      </c>
      <c r="F545" s="6"/>
      <c r="G545" s="90">
        <v>88</v>
      </c>
      <c r="H545" s="91"/>
    </row>
    <row r="546" spans="1:8" ht="30.75" hidden="1" thickBot="1" x14ac:dyDescent="0.3">
      <c r="A546" s="2" t="s">
        <v>21</v>
      </c>
      <c r="B546" s="6">
        <f>G546*56%</f>
        <v>3797.9200000000005</v>
      </c>
      <c r="C546" s="6"/>
      <c r="D546" s="26">
        <f>G546-B546</f>
        <v>2984.0799999999995</v>
      </c>
      <c r="E546" s="8" t="s">
        <v>8</v>
      </c>
      <c r="F546" s="8" t="s">
        <v>8</v>
      </c>
      <c r="G546" s="90">
        <f>294+6330+158</f>
        <v>6782</v>
      </c>
      <c r="H546" s="91"/>
    </row>
    <row r="547" spans="1:8" ht="15.75" hidden="1" thickBot="1" x14ac:dyDescent="0.3">
      <c r="A547" s="3" t="s">
        <v>22</v>
      </c>
      <c r="B547" s="6">
        <f>G547*56%</f>
        <v>241.92000000000002</v>
      </c>
      <c r="C547" s="6"/>
      <c r="D547" s="26">
        <f>G547-B547</f>
        <v>190.07999999999998</v>
      </c>
      <c r="E547" s="8" t="s">
        <v>8</v>
      </c>
      <c r="F547" s="8" t="s">
        <v>8</v>
      </c>
      <c r="G547" s="90">
        <f>414+18</f>
        <v>432</v>
      </c>
      <c r="H547" s="91"/>
    </row>
    <row r="548" spans="1:8" ht="15.75" hidden="1" thickBot="1" x14ac:dyDescent="0.3">
      <c r="A548" s="3" t="s">
        <v>23</v>
      </c>
      <c r="B548" s="8" t="s">
        <v>8</v>
      </c>
      <c r="C548" s="12"/>
      <c r="D548" s="8" t="s">
        <v>8</v>
      </c>
      <c r="E548" s="8" t="s">
        <v>8</v>
      </c>
      <c r="F548" s="8" t="s">
        <v>8</v>
      </c>
      <c r="G548" s="94"/>
      <c r="H548" s="95"/>
    </row>
    <row r="549" spans="1:8" ht="15.75" hidden="1" thickBot="1" x14ac:dyDescent="0.3">
      <c r="A549" s="3" t="s">
        <v>24</v>
      </c>
      <c r="B549" s="6">
        <f>G549*56%</f>
        <v>0</v>
      </c>
      <c r="C549" s="6"/>
      <c r="D549" s="6"/>
      <c r="E549" s="8" t="s">
        <v>8</v>
      </c>
      <c r="F549" s="8" t="s">
        <v>8</v>
      </c>
      <c r="G549" s="90"/>
      <c r="H549" s="91"/>
    </row>
    <row r="550" spans="1:8" ht="15.75" hidden="1" thickBot="1" x14ac:dyDescent="0.3">
      <c r="A550" s="4" t="s">
        <v>25</v>
      </c>
      <c r="B550" s="6">
        <f>SUM(B534:B549)</f>
        <v>119806.79999999999</v>
      </c>
      <c r="C550" s="6"/>
      <c r="D550" s="6">
        <f>SUM(D534:D549)</f>
        <v>40629.48000000001</v>
      </c>
      <c r="E550" s="6">
        <f>SUM(E534:E549)</f>
        <v>38.72</v>
      </c>
      <c r="F550" s="6"/>
      <c r="G550" s="90">
        <f>SUM(G534:H549)</f>
        <v>172475</v>
      </c>
      <c r="H550" s="91"/>
    </row>
    <row r="551" spans="1:8" hidden="1" x14ac:dyDescent="0.25">
      <c r="A551" s="92" t="s">
        <v>26</v>
      </c>
      <c r="B551" s="92"/>
      <c r="C551" s="92"/>
      <c r="D551" s="92"/>
      <c r="E551" s="92"/>
      <c r="F551" s="92"/>
      <c r="G551" s="92"/>
      <c r="H551" s="92"/>
    </row>
    <row r="552" spans="1:8" hidden="1" x14ac:dyDescent="0.25">
      <c r="A552" s="93" t="s">
        <v>27</v>
      </c>
      <c r="B552" s="93"/>
      <c r="C552" s="93"/>
      <c r="D552" s="93"/>
      <c r="E552" s="93"/>
      <c r="F552" s="93"/>
      <c r="G552" s="93"/>
      <c r="H552" s="93"/>
    </row>
    <row r="553" spans="1:8" hidden="1" x14ac:dyDescent="0.25">
      <c r="A553" s="93" t="s">
        <v>28</v>
      </c>
      <c r="B553" s="93"/>
      <c r="C553" s="93"/>
      <c r="D553" s="93"/>
      <c r="E553" s="93"/>
      <c r="F553" s="93"/>
      <c r="G553" s="93"/>
      <c r="H553" s="93"/>
    </row>
    <row r="554" spans="1:8" hidden="1" x14ac:dyDescent="0.25">
      <c r="A554" s="1"/>
      <c r="B554" s="9"/>
      <c r="C554" s="9"/>
      <c r="D554" s="9"/>
      <c r="E554" s="9"/>
      <c r="F554" s="9"/>
      <c r="G554" s="9"/>
      <c r="H554" s="9"/>
    </row>
    <row r="555" spans="1:8" ht="15.75" hidden="1" x14ac:dyDescent="0.25">
      <c r="A555" s="5"/>
    </row>
    <row r="556" spans="1:8" hidden="1" x14ac:dyDescent="0.25">
      <c r="B556" s="13" t="s">
        <v>77</v>
      </c>
      <c r="C556" s="13">
        <v>156157</v>
      </c>
    </row>
    <row r="557" spans="1:8" hidden="1" x14ac:dyDescent="0.25">
      <c r="C557" s="10">
        <f>C556-B550</f>
        <v>36350.200000000012</v>
      </c>
    </row>
    <row r="558" spans="1:8" hidden="1" x14ac:dyDescent="0.25"/>
    <row r="559" spans="1:8" hidden="1" x14ac:dyDescent="0.25"/>
    <row r="560" spans="1:8" hidden="1" x14ac:dyDescent="0.25"/>
    <row r="561" spans="1:8" hidden="1" x14ac:dyDescent="0.25">
      <c r="A561" s="22"/>
      <c r="B561" s="23"/>
      <c r="C561" s="23"/>
      <c r="D561" s="23"/>
      <c r="E561" s="112" t="s">
        <v>29</v>
      </c>
      <c r="F561" s="112"/>
      <c r="G561" s="112"/>
      <c r="H561" s="112"/>
    </row>
    <row r="562" spans="1:8" hidden="1" x14ac:dyDescent="0.25">
      <c r="A562" s="113"/>
      <c r="B562" s="114"/>
      <c r="C562" s="114"/>
      <c r="D562" s="115"/>
      <c r="E562" s="115" t="s">
        <v>0</v>
      </c>
      <c r="F562" s="115"/>
      <c r="G562" s="115"/>
      <c r="H562" s="115"/>
    </row>
    <row r="563" spans="1:8" hidden="1" x14ac:dyDescent="0.25">
      <c r="A563" s="113"/>
      <c r="B563" s="114"/>
      <c r="C563" s="114"/>
      <c r="D563" s="115"/>
      <c r="E563" s="115" t="s">
        <v>1</v>
      </c>
      <c r="F563" s="115"/>
      <c r="G563" s="115"/>
      <c r="H563" s="115"/>
    </row>
    <row r="564" spans="1:8" ht="15.75" hidden="1" thickBot="1" x14ac:dyDescent="0.3">
      <c r="A564" s="98" t="s">
        <v>38</v>
      </c>
      <c r="B564" s="98"/>
      <c r="C564" s="98"/>
      <c r="D564" s="98"/>
      <c r="E564" s="98"/>
      <c r="F564" s="98"/>
      <c r="G564" s="99"/>
      <c r="H564" s="99"/>
    </row>
    <row r="565" spans="1:8" ht="15.75" hidden="1" thickBot="1" x14ac:dyDescent="0.3">
      <c r="A565" s="100" t="s">
        <v>2</v>
      </c>
      <c r="B565" s="103" t="s">
        <v>30</v>
      </c>
      <c r="C565" s="104"/>
      <c r="D565" s="104"/>
      <c r="E565" s="104"/>
      <c r="F565" s="104"/>
      <c r="G565" s="105" t="s">
        <v>3</v>
      </c>
      <c r="H565" s="106"/>
    </row>
    <row r="566" spans="1:8" ht="105.75" hidden="1" thickBot="1" x14ac:dyDescent="0.3">
      <c r="A566" s="101"/>
      <c r="B566" s="96" t="s">
        <v>30</v>
      </c>
      <c r="C566" s="107"/>
      <c r="D566" s="25" t="s">
        <v>32</v>
      </c>
      <c r="E566" s="107" t="s">
        <v>4</v>
      </c>
      <c r="F566" s="97"/>
      <c r="G566" s="108"/>
      <c r="H566" s="109"/>
    </row>
    <row r="567" spans="1:8" ht="150.75" hidden="1" thickBot="1" x14ac:dyDescent="0.3">
      <c r="A567" s="102"/>
      <c r="B567" s="7" t="s">
        <v>36</v>
      </c>
      <c r="C567" s="7" t="s">
        <v>5</v>
      </c>
      <c r="D567" s="7" t="s">
        <v>33</v>
      </c>
      <c r="E567" s="7" t="s">
        <v>34</v>
      </c>
      <c r="F567" s="7" t="s">
        <v>35</v>
      </c>
      <c r="G567" s="110"/>
      <c r="H567" s="111"/>
    </row>
    <row r="568" spans="1:8" ht="15.75" hidden="1" thickBot="1" x14ac:dyDescent="0.3">
      <c r="A568" s="24">
        <v>1</v>
      </c>
      <c r="B568" s="7">
        <v>2</v>
      </c>
      <c r="C568" s="11">
        <v>3</v>
      </c>
      <c r="D568" s="7">
        <v>4</v>
      </c>
      <c r="E568" s="11">
        <v>5</v>
      </c>
      <c r="F568" s="7">
        <v>6</v>
      </c>
      <c r="G568" s="96" t="s">
        <v>37</v>
      </c>
      <c r="H568" s="97"/>
    </row>
    <row r="569" spans="1:8" ht="60.75" hidden="1" thickBot="1" x14ac:dyDescent="0.3">
      <c r="A569" s="2" t="s">
        <v>7</v>
      </c>
      <c r="B569" s="6">
        <f>B570</f>
        <v>95739.48</v>
      </c>
      <c r="C569" s="12"/>
      <c r="D569" s="6">
        <f>D570</f>
        <v>30233.520000000004</v>
      </c>
      <c r="E569" s="8" t="s">
        <v>8</v>
      </c>
      <c r="F569" s="8" t="s">
        <v>8</v>
      </c>
      <c r="G569" s="90">
        <f>130777-1495-3309</f>
        <v>125973</v>
      </c>
      <c r="H569" s="91"/>
    </row>
    <row r="570" spans="1:8" ht="15.75" hidden="1" thickBot="1" x14ac:dyDescent="0.3">
      <c r="A570" s="3" t="s">
        <v>9</v>
      </c>
      <c r="B570" s="6">
        <f>G570*76%</f>
        <v>95739.48</v>
      </c>
      <c r="C570" s="12"/>
      <c r="D570" s="26">
        <f>G570-B570</f>
        <v>30233.520000000004</v>
      </c>
      <c r="E570" s="8" t="s">
        <v>8</v>
      </c>
      <c r="F570" s="8" t="s">
        <v>8</v>
      </c>
      <c r="G570" s="90">
        <f>G569-G571</f>
        <v>125973</v>
      </c>
      <c r="H570" s="91"/>
    </row>
    <row r="571" spans="1:8" ht="15.75" hidden="1" thickBot="1" x14ac:dyDescent="0.3">
      <c r="A571" s="2" t="s">
        <v>10</v>
      </c>
      <c r="B571" s="6">
        <v>0</v>
      </c>
      <c r="C571" s="12"/>
      <c r="D571" s="6">
        <v>0</v>
      </c>
      <c r="E571" s="8" t="s">
        <v>8</v>
      </c>
      <c r="F571" s="8" t="s">
        <v>8</v>
      </c>
      <c r="G571" s="90"/>
      <c r="H571" s="91"/>
    </row>
    <row r="572" spans="1:8" ht="60.75" hidden="1" thickBot="1" x14ac:dyDescent="0.3">
      <c r="A572" s="2" t="s">
        <v>11</v>
      </c>
      <c r="B572" s="6">
        <f>G572*76%</f>
        <v>28201.32</v>
      </c>
      <c r="C572" s="12"/>
      <c r="D572" s="26">
        <f>G572-B572</f>
        <v>8905.68</v>
      </c>
      <c r="E572" s="8" t="s">
        <v>8</v>
      </c>
      <c r="F572" s="8" t="s">
        <v>8</v>
      </c>
      <c r="G572" s="90">
        <f>37474-367</f>
        <v>37107</v>
      </c>
      <c r="H572" s="91"/>
    </row>
    <row r="573" spans="1:8" ht="30.75" hidden="1" thickBot="1" x14ac:dyDescent="0.3">
      <c r="A573" s="2" t="s">
        <v>12</v>
      </c>
      <c r="B573" s="6">
        <f>G573*76%</f>
        <v>3929.96</v>
      </c>
      <c r="C573" s="12"/>
      <c r="D573" s="26">
        <f>G573-B573</f>
        <v>1241.04</v>
      </c>
      <c r="E573" s="8" t="s">
        <v>8</v>
      </c>
      <c r="F573" s="8" t="s">
        <v>8</v>
      </c>
      <c r="G573" s="90">
        <f>367+1495+3309</f>
        <v>5171</v>
      </c>
      <c r="H573" s="91"/>
    </row>
    <row r="574" spans="1:8" ht="15.75" hidden="1" thickBot="1" x14ac:dyDescent="0.3">
      <c r="A574" s="2" t="s">
        <v>13</v>
      </c>
      <c r="B574" s="6">
        <f>G574*56%</f>
        <v>0</v>
      </c>
      <c r="C574" s="6"/>
      <c r="D574" s="26">
        <f>G574-B574</f>
        <v>0</v>
      </c>
      <c r="E574" s="8" t="s">
        <v>8</v>
      </c>
      <c r="F574" s="8" t="s">
        <v>8</v>
      </c>
      <c r="G574" s="90">
        <v>0</v>
      </c>
      <c r="H574" s="91"/>
    </row>
    <row r="575" spans="1:8" ht="30.75" hidden="1" thickBot="1" x14ac:dyDescent="0.3">
      <c r="A575" s="2" t="s">
        <v>14</v>
      </c>
      <c r="B575" s="6">
        <f>G575*56%</f>
        <v>3467.5200000000004</v>
      </c>
      <c r="C575" s="6"/>
      <c r="D575" s="26">
        <f>G575-B575</f>
        <v>2724.4799999999996</v>
      </c>
      <c r="E575" s="8" t="s">
        <v>8</v>
      </c>
      <c r="F575" s="8" t="s">
        <v>8</v>
      </c>
      <c r="G575" s="90">
        <v>6192</v>
      </c>
      <c r="H575" s="91"/>
    </row>
    <row r="576" spans="1:8" ht="45.75" hidden="1" thickBot="1" x14ac:dyDescent="0.3">
      <c r="A576" s="2" t="s">
        <v>15</v>
      </c>
      <c r="B576" s="8" t="s">
        <v>8</v>
      </c>
      <c r="C576" s="8" t="s">
        <v>8</v>
      </c>
      <c r="D576" s="6"/>
      <c r="E576" s="8" t="s">
        <v>8</v>
      </c>
      <c r="F576" s="8" t="s">
        <v>8</v>
      </c>
      <c r="G576" s="90"/>
      <c r="H576" s="91"/>
    </row>
    <row r="577" spans="1:8" ht="15.75" hidden="1" thickBot="1" x14ac:dyDescent="0.3">
      <c r="A577" s="2" t="s">
        <v>16</v>
      </c>
      <c r="B577" s="8" t="s">
        <v>8</v>
      </c>
      <c r="C577" s="8" t="s">
        <v>8</v>
      </c>
      <c r="D577" s="12"/>
      <c r="E577" s="6">
        <v>750</v>
      </c>
      <c r="F577" s="6"/>
      <c r="G577" s="90">
        <v>12000</v>
      </c>
      <c r="H577" s="91"/>
    </row>
    <row r="578" spans="1:8" ht="15.75" hidden="1" thickBot="1" x14ac:dyDescent="0.3">
      <c r="A578" s="3" t="s">
        <v>17</v>
      </c>
      <c r="B578" s="6">
        <f>G578*56%</f>
        <v>2651.6000000000004</v>
      </c>
      <c r="C578" s="8"/>
      <c r="D578" s="6"/>
      <c r="E578" s="6">
        <f>G578-B578</f>
        <v>2083.3999999999996</v>
      </c>
      <c r="F578" s="6"/>
      <c r="G578" s="90">
        <v>4735</v>
      </c>
      <c r="H578" s="91"/>
    </row>
    <row r="579" spans="1:8" ht="15.75" hidden="1" thickBot="1" x14ac:dyDescent="0.3">
      <c r="A579" s="3" t="s">
        <v>18</v>
      </c>
      <c r="B579" s="6"/>
      <c r="C579" s="8"/>
      <c r="D579" s="8"/>
      <c r="E579" s="6"/>
      <c r="F579" s="6"/>
      <c r="G579" s="90"/>
      <c r="H579" s="91"/>
    </row>
    <row r="580" spans="1:8" ht="45.75" hidden="1" thickBot="1" x14ac:dyDescent="0.3">
      <c r="A580" s="2" t="s">
        <v>19</v>
      </c>
      <c r="B580" s="6"/>
      <c r="C580" s="8"/>
      <c r="D580" s="6"/>
      <c r="E580" s="6"/>
      <c r="F580" s="6"/>
      <c r="G580" s="94"/>
      <c r="H580" s="95"/>
    </row>
    <row r="581" spans="1:8" ht="45.75" hidden="1" thickBot="1" x14ac:dyDescent="0.3">
      <c r="A581" s="2" t="s">
        <v>20</v>
      </c>
      <c r="B581" s="6">
        <f>G581*56%</f>
        <v>55.440000000000005</v>
      </c>
      <c r="C581" s="8"/>
      <c r="D581" s="6"/>
      <c r="E581" s="6">
        <f>G581-B581</f>
        <v>43.559999999999995</v>
      </c>
      <c r="F581" s="6"/>
      <c r="G581" s="90">
        <v>99</v>
      </c>
      <c r="H581" s="91"/>
    </row>
    <row r="582" spans="1:8" ht="30.75" hidden="1" thickBot="1" x14ac:dyDescent="0.3">
      <c r="A582" s="2" t="s">
        <v>21</v>
      </c>
      <c r="B582" s="6">
        <f>G582*56%</f>
        <v>4113.76</v>
      </c>
      <c r="C582" s="6"/>
      <c r="D582" s="26">
        <f>G582-B582</f>
        <v>3232.24</v>
      </c>
      <c r="E582" s="8" t="s">
        <v>8</v>
      </c>
      <c r="F582" s="8" t="s">
        <v>8</v>
      </c>
      <c r="G582" s="90">
        <f>294+6894+158</f>
        <v>7346</v>
      </c>
      <c r="H582" s="91"/>
    </row>
    <row r="583" spans="1:8" ht="15.75" hidden="1" thickBot="1" x14ac:dyDescent="0.3">
      <c r="A583" s="3" t="s">
        <v>22</v>
      </c>
      <c r="B583" s="6">
        <f>G583*56%</f>
        <v>256.48</v>
      </c>
      <c r="C583" s="6"/>
      <c r="D583" s="26">
        <f>G583-B583</f>
        <v>201.51999999999998</v>
      </c>
      <c r="E583" s="8" t="s">
        <v>8</v>
      </c>
      <c r="F583" s="8" t="s">
        <v>8</v>
      </c>
      <c r="G583" s="90">
        <f>18+440</f>
        <v>458</v>
      </c>
      <c r="H583" s="91"/>
    </row>
    <row r="584" spans="1:8" ht="15.75" hidden="1" thickBot="1" x14ac:dyDescent="0.3">
      <c r="A584" s="3" t="s">
        <v>23</v>
      </c>
      <c r="B584" s="8" t="s">
        <v>8</v>
      </c>
      <c r="C584" s="12"/>
      <c r="D584" s="8" t="s">
        <v>8</v>
      </c>
      <c r="E584" s="8" t="s">
        <v>8</v>
      </c>
      <c r="F584" s="8" t="s">
        <v>8</v>
      </c>
      <c r="G584" s="94"/>
      <c r="H584" s="95"/>
    </row>
    <row r="585" spans="1:8" ht="15.75" hidden="1" thickBot="1" x14ac:dyDescent="0.3">
      <c r="A585" s="3" t="s">
        <v>24</v>
      </c>
      <c r="B585" s="6">
        <f>G585*56%</f>
        <v>0</v>
      </c>
      <c r="C585" s="6"/>
      <c r="D585" s="6"/>
      <c r="E585" s="8" t="s">
        <v>8</v>
      </c>
      <c r="F585" s="8" t="s">
        <v>8</v>
      </c>
      <c r="G585" s="90"/>
      <c r="H585" s="91"/>
    </row>
    <row r="586" spans="1:8" ht="15.75" hidden="1" thickBot="1" x14ac:dyDescent="0.3">
      <c r="A586" s="4" t="s">
        <v>25</v>
      </c>
      <c r="B586" s="6">
        <f>SUM(B570:B585)</f>
        <v>138415.56000000003</v>
      </c>
      <c r="C586" s="6"/>
      <c r="D586" s="6">
        <f>SUM(D570:D585)</f>
        <v>46538.479999999996</v>
      </c>
      <c r="E586" s="6">
        <f>SUM(E570:E585)</f>
        <v>2876.9599999999996</v>
      </c>
      <c r="F586" s="6"/>
      <c r="G586" s="90">
        <f>SUM(G570:H585)</f>
        <v>199081</v>
      </c>
      <c r="H586" s="91"/>
    </row>
    <row r="587" spans="1:8" hidden="1" x14ac:dyDescent="0.25">
      <c r="A587" s="92" t="s">
        <v>26</v>
      </c>
      <c r="B587" s="92"/>
      <c r="C587" s="92"/>
      <c r="D587" s="92"/>
      <c r="E587" s="92"/>
      <c r="F587" s="92"/>
      <c r="G587" s="92"/>
      <c r="H587" s="92"/>
    </row>
    <row r="588" spans="1:8" hidden="1" x14ac:dyDescent="0.25">
      <c r="A588" s="93" t="s">
        <v>27</v>
      </c>
      <c r="B588" s="93"/>
      <c r="C588" s="93"/>
      <c r="D588" s="93"/>
      <c r="E588" s="93"/>
      <c r="F588" s="93"/>
      <c r="G588" s="93"/>
      <c r="H588" s="93"/>
    </row>
    <row r="589" spans="1:8" hidden="1" x14ac:dyDescent="0.25">
      <c r="A589" s="93" t="s">
        <v>28</v>
      </c>
      <c r="B589" s="93"/>
      <c r="C589" s="93"/>
      <c r="D589" s="93"/>
      <c r="E589" s="93"/>
      <c r="F589" s="93"/>
      <c r="G589" s="93"/>
      <c r="H589" s="93"/>
    </row>
    <row r="590" spans="1:8" hidden="1" x14ac:dyDescent="0.25">
      <c r="A590" s="1"/>
      <c r="B590" s="9"/>
      <c r="C590" s="9"/>
      <c r="D590" s="9"/>
      <c r="E590" s="9"/>
      <c r="F590" s="9"/>
      <c r="G590" s="9"/>
      <c r="H590" s="9"/>
    </row>
    <row r="591" spans="1:8" ht="15.75" hidden="1" x14ac:dyDescent="0.25">
      <c r="A591" s="5"/>
    </row>
    <row r="592" spans="1:8" hidden="1" x14ac:dyDescent="0.25">
      <c r="B592" s="13" t="s">
        <v>40</v>
      </c>
      <c r="C592" s="13">
        <v>172036</v>
      </c>
    </row>
    <row r="593" spans="1:9" hidden="1" x14ac:dyDescent="0.25">
      <c r="B593" s="13"/>
      <c r="C593" s="10">
        <f>C592-B586</f>
        <v>33620.439999999973</v>
      </c>
    </row>
    <row r="594" spans="1:9" hidden="1" x14ac:dyDescent="0.25"/>
    <row r="595" spans="1:9" hidden="1" x14ac:dyDescent="0.25">
      <c r="A595" s="22"/>
      <c r="B595" s="23"/>
      <c r="C595" s="23"/>
      <c r="D595" s="23"/>
      <c r="E595" s="112" t="s">
        <v>29</v>
      </c>
      <c r="F595" s="112"/>
      <c r="G595" s="112"/>
      <c r="H595" s="112"/>
    </row>
    <row r="596" spans="1:9" hidden="1" x14ac:dyDescent="0.25">
      <c r="A596" s="113"/>
      <c r="B596" s="114"/>
      <c r="C596" s="114"/>
      <c r="D596" s="115"/>
      <c r="E596" s="115" t="s">
        <v>0</v>
      </c>
      <c r="F596" s="115"/>
      <c r="G596" s="115"/>
      <c r="H596" s="115"/>
    </row>
    <row r="597" spans="1:9" hidden="1" x14ac:dyDescent="0.25">
      <c r="A597" s="113"/>
      <c r="B597" s="114"/>
      <c r="C597" s="114"/>
      <c r="D597" s="115"/>
      <c r="E597" s="115" t="s">
        <v>1</v>
      </c>
      <c r="F597" s="115"/>
      <c r="G597" s="115"/>
      <c r="H597" s="115"/>
    </row>
    <row r="598" spans="1:9" ht="15.75" hidden="1" thickBot="1" x14ac:dyDescent="0.3">
      <c r="A598" s="98" t="s">
        <v>79</v>
      </c>
      <c r="B598" s="98"/>
      <c r="C598" s="98"/>
      <c r="D598" s="98"/>
      <c r="E598" s="98"/>
      <c r="F598" s="98"/>
      <c r="G598" s="99"/>
      <c r="H598" s="99"/>
    </row>
    <row r="599" spans="1:9" ht="15.75" hidden="1" thickBot="1" x14ac:dyDescent="0.3">
      <c r="A599" s="100" t="s">
        <v>2</v>
      </c>
      <c r="B599" s="103" t="s">
        <v>30</v>
      </c>
      <c r="C599" s="104"/>
      <c r="D599" s="104"/>
      <c r="E599" s="104"/>
      <c r="F599" s="104"/>
      <c r="G599" s="105" t="s">
        <v>3</v>
      </c>
      <c r="H599" s="106"/>
    </row>
    <row r="600" spans="1:9" ht="105.75" hidden="1" thickBot="1" x14ac:dyDescent="0.3">
      <c r="A600" s="101"/>
      <c r="B600" s="96" t="s">
        <v>30</v>
      </c>
      <c r="C600" s="107"/>
      <c r="D600" s="25" t="s">
        <v>32</v>
      </c>
      <c r="E600" s="107" t="s">
        <v>4</v>
      </c>
      <c r="F600" s="97"/>
      <c r="G600" s="108"/>
      <c r="H600" s="109"/>
    </row>
    <row r="601" spans="1:9" ht="150.75" hidden="1" thickBot="1" x14ac:dyDescent="0.3">
      <c r="A601" s="102"/>
      <c r="B601" s="7" t="s">
        <v>36</v>
      </c>
      <c r="C601" s="7" t="s">
        <v>5</v>
      </c>
      <c r="D601" s="7" t="s">
        <v>33</v>
      </c>
      <c r="E601" s="7" t="s">
        <v>34</v>
      </c>
      <c r="F601" s="7" t="s">
        <v>35</v>
      </c>
      <c r="G601" s="110"/>
      <c r="H601" s="111"/>
    </row>
    <row r="602" spans="1:9" ht="15.75" hidden="1" thickBot="1" x14ac:dyDescent="0.3">
      <c r="A602" s="24">
        <v>1</v>
      </c>
      <c r="B602" s="7">
        <v>2</v>
      </c>
      <c r="C602" s="11">
        <v>3</v>
      </c>
      <c r="D602" s="7">
        <v>4</v>
      </c>
      <c r="E602" s="11">
        <v>5</v>
      </c>
      <c r="F602" s="7">
        <v>6</v>
      </c>
      <c r="G602" s="96" t="s">
        <v>37</v>
      </c>
      <c r="H602" s="97"/>
    </row>
    <row r="603" spans="1:9" ht="60.75" hidden="1" thickBot="1" x14ac:dyDescent="0.3">
      <c r="A603" s="2" t="s">
        <v>7</v>
      </c>
      <c r="B603" s="6">
        <f>B604</f>
        <v>109557.8</v>
      </c>
      <c r="C603" s="12"/>
      <c r="D603" s="6">
        <f>D604</f>
        <v>34597.199999999997</v>
      </c>
      <c r="E603" s="8" t="s">
        <v>8</v>
      </c>
      <c r="F603" s="8" t="s">
        <v>8</v>
      </c>
      <c r="G603" s="90">
        <f>149074-1610-3309</f>
        <v>144155</v>
      </c>
      <c r="H603" s="91"/>
    </row>
    <row r="604" spans="1:9" ht="15.75" hidden="1" thickBot="1" x14ac:dyDescent="0.3">
      <c r="A604" s="3" t="s">
        <v>9</v>
      </c>
      <c r="B604" s="6">
        <f>G604*76%</f>
        <v>109557.8</v>
      </c>
      <c r="C604" s="12"/>
      <c r="D604" s="26">
        <f>G604-B604</f>
        <v>34597.199999999997</v>
      </c>
      <c r="E604" s="8" t="s">
        <v>8</v>
      </c>
      <c r="F604" s="8" t="s">
        <v>8</v>
      </c>
      <c r="G604" s="90">
        <f>G603-G605</f>
        <v>144155</v>
      </c>
      <c r="H604" s="91"/>
    </row>
    <row r="605" spans="1:9" ht="15.75" hidden="1" thickBot="1" x14ac:dyDescent="0.3">
      <c r="A605" s="2" t="s">
        <v>10</v>
      </c>
      <c r="B605" s="6">
        <v>0</v>
      </c>
      <c r="C605" s="12"/>
      <c r="D605" s="6">
        <v>0</v>
      </c>
      <c r="E605" s="8" t="s">
        <v>8</v>
      </c>
      <c r="F605" s="8" t="s">
        <v>8</v>
      </c>
      <c r="G605" s="90"/>
      <c r="H605" s="91"/>
    </row>
    <row r="606" spans="1:9" ht="60.75" hidden="1" thickBot="1" x14ac:dyDescent="0.3">
      <c r="A606" s="2" t="s">
        <v>11</v>
      </c>
      <c r="B606" s="6">
        <f>G606*76%</f>
        <v>31883.52</v>
      </c>
      <c r="C606" s="12"/>
      <c r="D606" s="26">
        <f>G606-B606</f>
        <v>10068.48</v>
      </c>
      <c r="E606" s="8" t="s">
        <v>8</v>
      </c>
      <c r="F606" s="8" t="s">
        <v>8</v>
      </c>
      <c r="G606" s="90">
        <f>42355-403</f>
        <v>41952</v>
      </c>
      <c r="H606" s="91"/>
    </row>
    <row r="607" spans="1:9" ht="30.75" hidden="1" thickBot="1" x14ac:dyDescent="0.3">
      <c r="A607" s="2" t="s">
        <v>12</v>
      </c>
      <c r="B607" s="6">
        <f>G607*76%</f>
        <v>4044.7200000000003</v>
      </c>
      <c r="C607" s="12"/>
      <c r="D607" s="26">
        <f>G607-B607</f>
        <v>1277.2799999999997</v>
      </c>
      <c r="E607" s="8" t="s">
        <v>8</v>
      </c>
      <c r="F607" s="8" t="s">
        <v>8</v>
      </c>
      <c r="G607" s="90">
        <f>1610+3309+403</f>
        <v>5322</v>
      </c>
      <c r="H607" s="91"/>
      <c r="I607" s="10">
        <f>G603+G606+G607</f>
        <v>191429</v>
      </c>
    </row>
    <row r="608" spans="1:9" ht="15.75" hidden="1" thickBot="1" x14ac:dyDescent="0.3">
      <c r="A608" s="2" t="s">
        <v>13</v>
      </c>
      <c r="B608" s="6">
        <f>G608*56%</f>
        <v>0</v>
      </c>
      <c r="C608" s="6"/>
      <c r="D608" s="26">
        <f>G608-B608</f>
        <v>0</v>
      </c>
      <c r="E608" s="8" t="s">
        <v>8</v>
      </c>
      <c r="F608" s="8" t="s">
        <v>8</v>
      </c>
      <c r="G608" s="90">
        <v>0</v>
      </c>
      <c r="H608" s="91"/>
      <c r="I608">
        <v>191428</v>
      </c>
    </row>
    <row r="609" spans="1:9" ht="30.75" hidden="1" thickBot="1" x14ac:dyDescent="0.3">
      <c r="A609" s="2" t="s">
        <v>14</v>
      </c>
      <c r="B609" s="6">
        <f>G609*56%</f>
        <v>6598.4800000000005</v>
      </c>
      <c r="C609" s="6"/>
      <c r="D609" s="26">
        <f>G609-B609</f>
        <v>5184.5199999999995</v>
      </c>
      <c r="E609" s="8" t="s">
        <v>8</v>
      </c>
      <c r="F609" s="8" t="s">
        <v>8</v>
      </c>
      <c r="G609" s="90">
        <v>11783</v>
      </c>
      <c r="H609" s="91"/>
      <c r="I609" s="10">
        <f>I607-I608</f>
        <v>1</v>
      </c>
    </row>
    <row r="610" spans="1:9" ht="45.75" hidden="1" thickBot="1" x14ac:dyDescent="0.3">
      <c r="A610" s="2" t="s">
        <v>15</v>
      </c>
      <c r="B610" s="8" t="s">
        <v>8</v>
      </c>
      <c r="C610" s="8" t="s">
        <v>8</v>
      </c>
      <c r="D610" s="6"/>
      <c r="E610" s="8" t="s">
        <v>8</v>
      </c>
      <c r="F610" s="8" t="s">
        <v>8</v>
      </c>
      <c r="G610" s="90"/>
      <c r="H610" s="91"/>
    </row>
    <row r="611" spans="1:9" ht="15.75" hidden="1" thickBot="1" x14ac:dyDescent="0.3">
      <c r="A611" s="2" t="s">
        <v>16</v>
      </c>
      <c r="B611" s="8" t="s">
        <v>8</v>
      </c>
      <c r="C611" s="8" t="s">
        <v>8</v>
      </c>
      <c r="D611" s="12"/>
      <c r="E611" s="6">
        <v>2250</v>
      </c>
      <c r="F611" s="6"/>
      <c r="G611" s="90">
        <v>13500</v>
      </c>
      <c r="H611" s="91"/>
    </row>
    <row r="612" spans="1:9" ht="15.75" hidden="1" thickBot="1" x14ac:dyDescent="0.3">
      <c r="A612" s="3" t="s">
        <v>17</v>
      </c>
      <c r="B612" s="6">
        <f>G612*56%</f>
        <v>2651.6000000000004</v>
      </c>
      <c r="C612" s="8"/>
      <c r="D612" s="6"/>
      <c r="E612" s="6">
        <f>G612-B612</f>
        <v>2083.3999999999996</v>
      </c>
      <c r="F612" s="6"/>
      <c r="G612" s="90">
        <v>4735</v>
      </c>
      <c r="H612" s="91"/>
    </row>
    <row r="613" spans="1:9" ht="15.75" hidden="1" thickBot="1" x14ac:dyDescent="0.3">
      <c r="A613" s="3" t="s">
        <v>18</v>
      </c>
      <c r="B613" s="6"/>
      <c r="C613" s="8"/>
      <c r="D613" s="8"/>
      <c r="E613" s="6"/>
      <c r="F613" s="6"/>
      <c r="G613" s="90"/>
      <c r="H613" s="91"/>
    </row>
    <row r="614" spans="1:9" ht="45.75" hidden="1" thickBot="1" x14ac:dyDescent="0.3">
      <c r="A614" s="2" t="s">
        <v>19</v>
      </c>
      <c r="B614" s="6"/>
      <c r="C614" s="8"/>
      <c r="D614" s="6"/>
      <c r="E614" s="6"/>
      <c r="F614" s="6"/>
      <c r="G614" s="94"/>
      <c r="H614" s="95"/>
    </row>
    <row r="615" spans="1:9" ht="45.75" hidden="1" thickBot="1" x14ac:dyDescent="0.3">
      <c r="A615" s="2" t="s">
        <v>20</v>
      </c>
      <c r="B615" s="6">
        <f>G615*56%</f>
        <v>72.800000000000011</v>
      </c>
      <c r="C615" s="8"/>
      <c r="D615" s="6"/>
      <c r="E615" s="6">
        <f>G615-B615</f>
        <v>57.199999999999989</v>
      </c>
      <c r="F615" s="6"/>
      <c r="G615" s="90">
        <v>130</v>
      </c>
      <c r="H615" s="91"/>
    </row>
    <row r="616" spans="1:9" ht="30.75" hidden="1" thickBot="1" x14ac:dyDescent="0.3">
      <c r="A616" s="2" t="s">
        <v>21</v>
      </c>
      <c r="B616" s="6">
        <f>G616*56%</f>
        <v>5276.88</v>
      </c>
      <c r="C616" s="6"/>
      <c r="D616" s="26">
        <f>G616-B616</f>
        <v>4146.12</v>
      </c>
      <c r="E616" s="8" t="s">
        <v>8</v>
      </c>
      <c r="F616" s="8" t="s">
        <v>8</v>
      </c>
      <c r="G616" s="90">
        <f>570+8695+158</f>
        <v>9423</v>
      </c>
      <c r="H616" s="91"/>
    </row>
    <row r="617" spans="1:9" ht="15.75" hidden="1" thickBot="1" x14ac:dyDescent="0.3">
      <c r="A617" s="3" t="s">
        <v>22</v>
      </c>
      <c r="B617" s="6">
        <f>G617*56%</f>
        <v>267.12</v>
      </c>
      <c r="C617" s="6"/>
      <c r="D617" s="26">
        <f>G617-B617</f>
        <v>209.88</v>
      </c>
      <c r="E617" s="8" t="s">
        <v>8</v>
      </c>
      <c r="F617" s="8" t="s">
        <v>8</v>
      </c>
      <c r="G617" s="90">
        <f>459+18</f>
        <v>477</v>
      </c>
      <c r="H617" s="91"/>
    </row>
    <row r="618" spans="1:9" ht="15.75" hidden="1" thickBot="1" x14ac:dyDescent="0.3">
      <c r="A618" s="3" t="s">
        <v>23</v>
      </c>
      <c r="B618" s="8" t="s">
        <v>8</v>
      </c>
      <c r="C618" s="12"/>
      <c r="D618" s="8" t="s">
        <v>8</v>
      </c>
      <c r="E618" s="8" t="s">
        <v>8</v>
      </c>
      <c r="F618" s="8" t="s">
        <v>8</v>
      </c>
      <c r="G618" s="94"/>
      <c r="H618" s="95"/>
    </row>
    <row r="619" spans="1:9" ht="15.75" hidden="1" thickBot="1" x14ac:dyDescent="0.3">
      <c r="A619" s="3" t="s">
        <v>24</v>
      </c>
      <c r="B619" s="6">
        <f>G619*56%</f>
        <v>0</v>
      </c>
      <c r="C619" s="6"/>
      <c r="D619" s="6"/>
      <c r="E619" s="8" t="s">
        <v>8</v>
      </c>
      <c r="F619" s="8" t="s">
        <v>8</v>
      </c>
      <c r="G619" s="90"/>
      <c r="H619" s="91"/>
    </row>
    <row r="620" spans="1:9" ht="15.75" hidden="1" thickBot="1" x14ac:dyDescent="0.3">
      <c r="A620" s="4" t="s">
        <v>25</v>
      </c>
      <c r="B620" s="6">
        <f>SUM(B604:B619)</f>
        <v>160352.92000000001</v>
      </c>
      <c r="C620" s="6"/>
      <c r="D620" s="6">
        <f>SUM(D604:D619)</f>
        <v>55483.479999999989</v>
      </c>
      <c r="E620" s="6">
        <f>SUM(E604:E619)</f>
        <v>4390.5999999999995</v>
      </c>
      <c r="F620" s="6"/>
      <c r="G620" s="90">
        <f>SUM(G604:H619)</f>
        <v>231477</v>
      </c>
      <c r="H620" s="91"/>
    </row>
    <row r="621" spans="1:9" hidden="1" x14ac:dyDescent="0.25">
      <c r="A621" s="92" t="s">
        <v>26</v>
      </c>
      <c r="B621" s="92"/>
      <c r="C621" s="92"/>
      <c r="D621" s="92"/>
      <c r="E621" s="92"/>
      <c r="F621" s="92"/>
      <c r="G621" s="92"/>
      <c r="H621" s="92"/>
    </row>
    <row r="622" spans="1:9" hidden="1" x14ac:dyDescent="0.25">
      <c r="A622" s="93" t="s">
        <v>27</v>
      </c>
      <c r="B622" s="93"/>
      <c r="C622" s="93"/>
      <c r="D622" s="93"/>
      <c r="E622" s="93"/>
      <c r="F622" s="93"/>
      <c r="G622" s="93"/>
      <c r="H622" s="93"/>
    </row>
    <row r="623" spans="1:9" hidden="1" x14ac:dyDescent="0.25">
      <c r="A623" s="93" t="s">
        <v>28</v>
      </c>
      <c r="B623" s="93"/>
      <c r="C623" s="93"/>
      <c r="D623" s="93"/>
      <c r="E623" s="93"/>
      <c r="F623" s="93"/>
      <c r="G623" s="93"/>
      <c r="H623" s="93"/>
    </row>
    <row r="624" spans="1:9" hidden="1" x14ac:dyDescent="0.25">
      <c r="A624" s="1"/>
      <c r="B624" s="9"/>
      <c r="C624" s="9"/>
      <c r="D624" s="9"/>
      <c r="E624" s="9"/>
      <c r="F624" s="9"/>
      <c r="G624" s="9"/>
      <c r="H624" s="9"/>
    </row>
    <row r="625" spans="1:8" ht="15.75" hidden="1" x14ac:dyDescent="0.25">
      <c r="A625" s="5"/>
    </row>
    <row r="626" spans="1:8" hidden="1" x14ac:dyDescent="0.25">
      <c r="B626" s="13" t="s">
        <v>80</v>
      </c>
      <c r="C626" s="13">
        <v>191681</v>
      </c>
    </row>
    <row r="627" spans="1:8" hidden="1" x14ac:dyDescent="0.25">
      <c r="C627" s="10">
        <f>C626-B620</f>
        <v>31328.079999999987</v>
      </c>
    </row>
    <row r="628" spans="1:8" hidden="1" x14ac:dyDescent="0.25"/>
    <row r="629" spans="1:8" hidden="1" x14ac:dyDescent="0.25"/>
    <row r="630" spans="1:8" hidden="1" x14ac:dyDescent="0.25"/>
    <row r="631" spans="1:8" hidden="1" x14ac:dyDescent="0.25">
      <c r="A631" s="22"/>
      <c r="B631" s="23"/>
      <c r="C631" s="23"/>
      <c r="D631" s="23"/>
      <c r="E631" s="112" t="s">
        <v>29</v>
      </c>
      <c r="F631" s="112"/>
      <c r="G631" s="112"/>
      <c r="H631" s="112"/>
    </row>
    <row r="632" spans="1:8" hidden="1" x14ac:dyDescent="0.25">
      <c r="A632" s="113"/>
      <c r="B632" s="114"/>
      <c r="C632" s="114"/>
      <c r="D632" s="115"/>
      <c r="E632" s="115" t="s">
        <v>0</v>
      </c>
      <c r="F632" s="115"/>
      <c r="G632" s="115"/>
      <c r="H632" s="115"/>
    </row>
    <row r="633" spans="1:8" hidden="1" x14ac:dyDescent="0.25">
      <c r="A633" s="113"/>
      <c r="B633" s="114"/>
      <c r="C633" s="114"/>
      <c r="D633" s="115"/>
      <c r="E633" s="115" t="s">
        <v>1</v>
      </c>
      <c r="F633" s="115"/>
      <c r="G633" s="115"/>
      <c r="H633" s="115"/>
    </row>
    <row r="634" spans="1:8" ht="15.75" hidden="1" thickBot="1" x14ac:dyDescent="0.3">
      <c r="A634" s="98" t="s">
        <v>81</v>
      </c>
      <c r="B634" s="98"/>
      <c r="C634" s="98"/>
      <c r="D634" s="98"/>
      <c r="E634" s="98"/>
      <c r="F634" s="98"/>
      <c r="G634" s="99"/>
      <c r="H634" s="99"/>
    </row>
    <row r="635" spans="1:8" ht="15.75" hidden="1" thickBot="1" x14ac:dyDescent="0.3">
      <c r="A635" s="100" t="s">
        <v>2</v>
      </c>
      <c r="B635" s="103" t="s">
        <v>30</v>
      </c>
      <c r="C635" s="104"/>
      <c r="D635" s="104"/>
      <c r="E635" s="104"/>
      <c r="F635" s="104"/>
      <c r="G635" s="105" t="s">
        <v>3</v>
      </c>
      <c r="H635" s="106"/>
    </row>
    <row r="636" spans="1:8" ht="105.75" hidden="1" thickBot="1" x14ac:dyDescent="0.3">
      <c r="A636" s="101"/>
      <c r="B636" s="96" t="s">
        <v>30</v>
      </c>
      <c r="C636" s="107"/>
      <c r="D636" s="25" t="s">
        <v>32</v>
      </c>
      <c r="E636" s="107" t="s">
        <v>4</v>
      </c>
      <c r="F636" s="97"/>
      <c r="G636" s="108"/>
      <c r="H636" s="109"/>
    </row>
    <row r="637" spans="1:8" ht="150.75" hidden="1" thickBot="1" x14ac:dyDescent="0.3">
      <c r="A637" s="102"/>
      <c r="B637" s="7" t="s">
        <v>36</v>
      </c>
      <c r="C637" s="7" t="s">
        <v>5</v>
      </c>
      <c r="D637" s="7" t="s">
        <v>33</v>
      </c>
      <c r="E637" s="7" t="s">
        <v>34</v>
      </c>
      <c r="F637" s="7" t="s">
        <v>35</v>
      </c>
      <c r="G637" s="110"/>
      <c r="H637" s="111"/>
    </row>
    <row r="638" spans="1:8" ht="15.75" hidden="1" thickBot="1" x14ac:dyDescent="0.3">
      <c r="A638" s="24">
        <v>1</v>
      </c>
      <c r="B638" s="7">
        <v>2</v>
      </c>
      <c r="C638" s="11">
        <v>3</v>
      </c>
      <c r="D638" s="7">
        <v>4</v>
      </c>
      <c r="E638" s="11">
        <v>5</v>
      </c>
      <c r="F638" s="7">
        <v>6</v>
      </c>
      <c r="G638" s="96" t="s">
        <v>37</v>
      </c>
      <c r="H638" s="97"/>
    </row>
    <row r="639" spans="1:8" ht="60.75" hidden="1" thickBot="1" x14ac:dyDescent="0.3">
      <c r="A639" s="2" t="s">
        <v>7</v>
      </c>
      <c r="B639" s="6">
        <f>B640</f>
        <v>122515.04000000001</v>
      </c>
      <c r="C639" s="12"/>
      <c r="D639" s="6">
        <f>D640</f>
        <v>38688.959999999992</v>
      </c>
      <c r="E639" s="8" t="s">
        <v>8</v>
      </c>
      <c r="F639" s="8" t="s">
        <v>8</v>
      </c>
      <c r="G639" s="90">
        <f>166280-3351-1725</f>
        <v>161204</v>
      </c>
      <c r="H639" s="91"/>
    </row>
    <row r="640" spans="1:8" ht="15.75" hidden="1" thickBot="1" x14ac:dyDescent="0.3">
      <c r="A640" s="3" t="s">
        <v>9</v>
      </c>
      <c r="B640" s="6">
        <f>G640*76%</f>
        <v>122515.04000000001</v>
      </c>
      <c r="C640" s="12"/>
      <c r="D640" s="26">
        <f>G640-B640</f>
        <v>38688.959999999992</v>
      </c>
      <c r="E640" s="8" t="s">
        <v>8</v>
      </c>
      <c r="F640" s="8" t="s">
        <v>8</v>
      </c>
      <c r="G640" s="90">
        <f>G639-G641</f>
        <v>161204</v>
      </c>
      <c r="H640" s="91"/>
    </row>
    <row r="641" spans="1:9" ht="15.75" hidden="1" thickBot="1" x14ac:dyDescent="0.3">
      <c r="A641" s="2" t="s">
        <v>10</v>
      </c>
      <c r="B641" s="6">
        <v>0</v>
      </c>
      <c r="C641" s="12"/>
      <c r="D641" s="6">
        <v>0</v>
      </c>
      <c r="E641" s="8" t="s">
        <v>8</v>
      </c>
      <c r="F641" s="8" t="s">
        <v>8</v>
      </c>
      <c r="G641" s="90"/>
      <c r="H641" s="91"/>
    </row>
    <row r="642" spans="1:9" ht="60.75" hidden="1" thickBot="1" x14ac:dyDescent="0.3">
      <c r="A642" s="2" t="s">
        <v>11</v>
      </c>
      <c r="B642" s="6">
        <f>G642*76%</f>
        <v>36337.879999999997</v>
      </c>
      <c r="C642" s="12"/>
      <c r="D642" s="26">
        <f>G642-B642</f>
        <v>11475.120000000003</v>
      </c>
      <c r="E642" s="8" t="s">
        <v>8</v>
      </c>
      <c r="F642" s="8" t="s">
        <v>8</v>
      </c>
      <c r="G642" s="90">
        <f>48283-470</f>
        <v>47813</v>
      </c>
      <c r="H642" s="91"/>
    </row>
    <row r="643" spans="1:9" ht="30.75" hidden="1" thickBot="1" x14ac:dyDescent="0.3">
      <c r="A643" s="2" t="s">
        <v>12</v>
      </c>
      <c r="B643" s="6">
        <f>G643*76%</f>
        <v>4214.96</v>
      </c>
      <c r="C643" s="12"/>
      <c r="D643" s="26">
        <f>G643-B643</f>
        <v>1331.04</v>
      </c>
      <c r="E643" s="8" t="s">
        <v>8</v>
      </c>
      <c r="F643" s="8" t="s">
        <v>8</v>
      </c>
      <c r="G643" s="90">
        <f>470+3351+1725</f>
        <v>5546</v>
      </c>
      <c r="H643" s="91"/>
      <c r="I643" s="10">
        <f>G639+G642+G643</f>
        <v>214563</v>
      </c>
    </row>
    <row r="644" spans="1:9" ht="15.75" hidden="1" thickBot="1" x14ac:dyDescent="0.3">
      <c r="A644" s="2" t="s">
        <v>13</v>
      </c>
      <c r="B644" s="6">
        <f>G644*56%</f>
        <v>0</v>
      </c>
      <c r="C644" s="6"/>
      <c r="D644" s="26">
        <f>G644-B644</f>
        <v>0</v>
      </c>
      <c r="E644" s="8" t="s">
        <v>8</v>
      </c>
      <c r="F644" s="8" t="s">
        <v>8</v>
      </c>
      <c r="G644" s="90">
        <v>0</v>
      </c>
      <c r="H644" s="91"/>
      <c r="I644">
        <f>29022+130767</f>
        <v>159789</v>
      </c>
    </row>
    <row r="645" spans="1:9" ht="30.75" hidden="1" thickBot="1" x14ac:dyDescent="0.3">
      <c r="A645" s="2" t="s">
        <v>14</v>
      </c>
      <c r="B645" s="6">
        <f>G645*56%</f>
        <v>9763.0400000000009</v>
      </c>
      <c r="C645" s="6"/>
      <c r="D645" s="26">
        <f>G645-B645</f>
        <v>7670.9599999999991</v>
      </c>
      <c r="E645" s="8" t="s">
        <v>8</v>
      </c>
      <c r="F645" s="8" t="s">
        <v>8</v>
      </c>
      <c r="G645" s="90">
        <v>17434</v>
      </c>
      <c r="H645" s="91"/>
      <c r="I645" s="10">
        <f>I643-I644</f>
        <v>54774</v>
      </c>
    </row>
    <row r="646" spans="1:9" ht="45.75" hidden="1" thickBot="1" x14ac:dyDescent="0.3">
      <c r="A646" s="2" t="s">
        <v>15</v>
      </c>
      <c r="B646" s="8" t="s">
        <v>8</v>
      </c>
      <c r="C646" s="8" t="s">
        <v>8</v>
      </c>
      <c r="D646" s="6"/>
      <c r="E646" s="8" t="s">
        <v>8</v>
      </c>
      <c r="F646" s="8" t="s">
        <v>8</v>
      </c>
      <c r="G646" s="90"/>
      <c r="H646" s="91"/>
    </row>
    <row r="647" spans="1:9" ht="15.75" hidden="1" thickBot="1" x14ac:dyDescent="0.3">
      <c r="A647" s="2" t="s">
        <v>16</v>
      </c>
      <c r="B647" s="8" t="s">
        <v>8</v>
      </c>
      <c r="C647" s="8" t="s">
        <v>8</v>
      </c>
      <c r="D647" s="12"/>
      <c r="E647" s="6">
        <v>2250</v>
      </c>
      <c r="F647" s="6"/>
      <c r="G647" s="90">
        <v>15000</v>
      </c>
      <c r="H647" s="91"/>
    </row>
    <row r="648" spans="1:9" ht="15.75" hidden="1" thickBot="1" x14ac:dyDescent="0.3">
      <c r="A648" s="3" t="s">
        <v>17</v>
      </c>
      <c r="B648" s="6">
        <f>G648*56%</f>
        <v>2651.6000000000004</v>
      </c>
      <c r="C648" s="8"/>
      <c r="D648" s="6"/>
      <c r="E648" s="6">
        <f>G648-B648</f>
        <v>2083.3999999999996</v>
      </c>
      <c r="F648" s="6"/>
      <c r="G648" s="90">
        <v>4735</v>
      </c>
      <c r="H648" s="91"/>
    </row>
    <row r="649" spans="1:9" ht="15.75" hidden="1" thickBot="1" x14ac:dyDescent="0.3">
      <c r="A649" s="3" t="s">
        <v>18</v>
      </c>
      <c r="B649" s="6"/>
      <c r="C649" s="8"/>
      <c r="D649" s="8"/>
      <c r="E649" s="6"/>
      <c r="F649" s="6"/>
      <c r="G649" s="90"/>
      <c r="H649" s="91"/>
    </row>
    <row r="650" spans="1:9" ht="45.75" hidden="1" thickBot="1" x14ac:dyDescent="0.3">
      <c r="A650" s="2" t="s">
        <v>19</v>
      </c>
      <c r="B650" s="6"/>
      <c r="C650" s="8"/>
      <c r="D650" s="6"/>
      <c r="E650" s="6"/>
      <c r="F650" s="6"/>
      <c r="G650" s="94"/>
      <c r="H650" s="95"/>
    </row>
    <row r="651" spans="1:9" ht="45.75" hidden="1" thickBot="1" x14ac:dyDescent="0.3">
      <c r="A651" s="2" t="s">
        <v>20</v>
      </c>
      <c r="B651" s="6">
        <f>G651*56%</f>
        <v>101.36000000000001</v>
      </c>
      <c r="C651" s="8"/>
      <c r="D651" s="6"/>
      <c r="E651" s="6">
        <f>G651-B651</f>
        <v>79.639999999999986</v>
      </c>
      <c r="F651" s="6"/>
      <c r="G651" s="90">
        <v>181</v>
      </c>
      <c r="H651" s="91"/>
    </row>
    <row r="652" spans="1:9" ht="30.75" hidden="1" thickBot="1" x14ac:dyDescent="0.3">
      <c r="A652" s="2" t="s">
        <v>21</v>
      </c>
      <c r="B652" s="6">
        <f>G652*56%</f>
        <v>5648.1600000000008</v>
      </c>
      <c r="C652" s="6"/>
      <c r="D652" s="26">
        <f>G652-B652</f>
        <v>4437.8399999999992</v>
      </c>
      <c r="E652" s="8" t="s">
        <v>8</v>
      </c>
      <c r="F652" s="8" t="s">
        <v>8</v>
      </c>
      <c r="G652" s="90">
        <f>570+9358+158</f>
        <v>10086</v>
      </c>
      <c r="H652" s="91"/>
    </row>
    <row r="653" spans="1:9" ht="15.75" hidden="1" thickBot="1" x14ac:dyDescent="0.3">
      <c r="A653" s="3" t="s">
        <v>22</v>
      </c>
      <c r="B653" s="6">
        <f>G653*56%</f>
        <v>288.40000000000003</v>
      </c>
      <c r="C653" s="6"/>
      <c r="D653" s="26">
        <f>G653-B653</f>
        <v>226.59999999999997</v>
      </c>
      <c r="E653" s="8" t="s">
        <v>8</v>
      </c>
      <c r="F653" s="8" t="s">
        <v>8</v>
      </c>
      <c r="G653" s="90">
        <f>18+497</f>
        <v>515</v>
      </c>
      <c r="H653" s="91"/>
    </row>
    <row r="654" spans="1:9" ht="15.75" hidden="1" thickBot="1" x14ac:dyDescent="0.3">
      <c r="A654" s="3" t="s">
        <v>23</v>
      </c>
      <c r="B654" s="8" t="s">
        <v>8</v>
      </c>
      <c r="C654" s="12"/>
      <c r="D654" s="8" t="s">
        <v>8</v>
      </c>
      <c r="E654" s="8" t="s">
        <v>8</v>
      </c>
      <c r="F654" s="8" t="s">
        <v>8</v>
      </c>
      <c r="G654" s="94"/>
      <c r="H654" s="95"/>
    </row>
    <row r="655" spans="1:9" ht="15.75" hidden="1" thickBot="1" x14ac:dyDescent="0.3">
      <c r="A655" s="3" t="s">
        <v>24</v>
      </c>
      <c r="B655" s="6">
        <f>G655*56%</f>
        <v>0</v>
      </c>
      <c r="C655" s="6"/>
      <c r="D655" s="6"/>
      <c r="E655" s="8" t="s">
        <v>8</v>
      </c>
      <c r="F655" s="8" t="s">
        <v>8</v>
      </c>
      <c r="G655" s="90"/>
      <c r="H655" s="91"/>
    </row>
    <row r="656" spans="1:9" ht="15.75" hidden="1" thickBot="1" x14ac:dyDescent="0.3">
      <c r="A656" s="4" t="s">
        <v>25</v>
      </c>
      <c r="B656" s="6">
        <f>SUM(B640:B655)</f>
        <v>181520.44</v>
      </c>
      <c r="C656" s="6"/>
      <c r="D656" s="6">
        <f>SUM(D640:D655)</f>
        <v>63830.51999999999</v>
      </c>
      <c r="E656" s="6">
        <f>SUM(E640:E655)</f>
        <v>4413.04</v>
      </c>
      <c r="F656" s="6"/>
      <c r="G656" s="90">
        <f>SUM(G640:H655)</f>
        <v>262514</v>
      </c>
      <c r="H656" s="91"/>
    </row>
    <row r="657" spans="1:8" hidden="1" x14ac:dyDescent="0.25">
      <c r="A657" s="92" t="s">
        <v>26</v>
      </c>
      <c r="B657" s="92"/>
      <c r="C657" s="92"/>
      <c r="D657" s="92"/>
      <c r="E657" s="92"/>
      <c r="F657" s="92"/>
      <c r="G657" s="92"/>
      <c r="H657" s="92"/>
    </row>
    <row r="658" spans="1:8" hidden="1" x14ac:dyDescent="0.25">
      <c r="A658" s="93" t="s">
        <v>27</v>
      </c>
      <c r="B658" s="93"/>
      <c r="C658" s="93"/>
      <c r="D658" s="93"/>
      <c r="E658" s="93"/>
      <c r="F658" s="93"/>
      <c r="G658" s="93"/>
      <c r="H658" s="93"/>
    </row>
    <row r="659" spans="1:8" hidden="1" x14ac:dyDescent="0.25">
      <c r="A659" s="93" t="s">
        <v>28</v>
      </c>
      <c r="B659" s="93"/>
      <c r="C659" s="93"/>
      <c r="D659" s="93"/>
      <c r="E659" s="93"/>
      <c r="F659" s="93"/>
      <c r="G659" s="93"/>
      <c r="H659" s="93"/>
    </row>
    <row r="660" spans="1:8" hidden="1" x14ac:dyDescent="0.25">
      <c r="A660" s="1"/>
      <c r="B660" s="9"/>
      <c r="C660" s="9"/>
      <c r="D660" s="9"/>
      <c r="E660" s="9"/>
      <c r="F660" s="9"/>
      <c r="G660" s="9"/>
      <c r="H660" s="9"/>
    </row>
    <row r="661" spans="1:8" ht="15.75" hidden="1" x14ac:dyDescent="0.25">
      <c r="A661" s="5"/>
    </row>
    <row r="662" spans="1:8" hidden="1" x14ac:dyDescent="0.25">
      <c r="B662" s="13" t="s">
        <v>82</v>
      </c>
      <c r="C662" s="13">
        <v>211326</v>
      </c>
    </row>
    <row r="663" spans="1:8" hidden="1" x14ac:dyDescent="0.25">
      <c r="C663" s="10">
        <f>C662-B656</f>
        <v>29805.559999999998</v>
      </c>
    </row>
    <row r="664" spans="1:8" hidden="1" x14ac:dyDescent="0.25"/>
    <row r="665" spans="1:8" hidden="1" x14ac:dyDescent="0.25"/>
    <row r="666" spans="1:8" hidden="1" x14ac:dyDescent="0.25"/>
    <row r="667" spans="1:8" hidden="1" x14ac:dyDescent="0.25"/>
    <row r="668" spans="1:8" hidden="1" x14ac:dyDescent="0.25"/>
    <row r="669" spans="1:8" hidden="1" x14ac:dyDescent="0.25"/>
    <row r="670" spans="1:8" hidden="1" x14ac:dyDescent="0.25">
      <c r="A670" s="22"/>
      <c r="B670" s="23"/>
      <c r="C670" s="23"/>
      <c r="D670" s="23"/>
      <c r="E670" s="112" t="s">
        <v>29</v>
      </c>
      <c r="F670" s="112"/>
      <c r="G670" s="112"/>
      <c r="H670" s="112"/>
    </row>
    <row r="671" spans="1:8" hidden="1" x14ac:dyDescent="0.25">
      <c r="A671" s="113"/>
      <c r="B671" s="114"/>
      <c r="C671" s="114"/>
      <c r="D671" s="115"/>
      <c r="E671" s="115" t="s">
        <v>0</v>
      </c>
      <c r="F671" s="115"/>
      <c r="G671" s="115"/>
      <c r="H671" s="115"/>
    </row>
    <row r="672" spans="1:8" hidden="1" x14ac:dyDescent="0.25">
      <c r="A672" s="113"/>
      <c r="B672" s="114"/>
      <c r="C672" s="114"/>
      <c r="D672" s="115"/>
      <c r="E672" s="115" t="s">
        <v>1</v>
      </c>
      <c r="F672" s="115"/>
      <c r="G672" s="115"/>
      <c r="H672" s="115"/>
    </row>
    <row r="673" spans="1:9" ht="15.75" hidden="1" thickBot="1" x14ac:dyDescent="0.3">
      <c r="A673" s="98" t="s">
        <v>51</v>
      </c>
      <c r="B673" s="98"/>
      <c r="C673" s="98"/>
      <c r="D673" s="98"/>
      <c r="E673" s="98"/>
      <c r="F673" s="98"/>
      <c r="G673" s="99"/>
      <c r="H673" s="99"/>
    </row>
    <row r="674" spans="1:9" ht="15.75" hidden="1" thickBot="1" x14ac:dyDescent="0.3">
      <c r="A674" s="100" t="s">
        <v>2</v>
      </c>
      <c r="B674" s="103" t="s">
        <v>30</v>
      </c>
      <c r="C674" s="104"/>
      <c r="D674" s="104"/>
      <c r="E674" s="104"/>
      <c r="F674" s="104"/>
      <c r="G674" s="105" t="s">
        <v>3</v>
      </c>
      <c r="H674" s="106"/>
    </row>
    <row r="675" spans="1:9" ht="105.75" hidden="1" thickBot="1" x14ac:dyDescent="0.3">
      <c r="A675" s="101"/>
      <c r="B675" s="96" t="s">
        <v>30</v>
      </c>
      <c r="C675" s="107"/>
      <c r="D675" s="25" t="s">
        <v>32</v>
      </c>
      <c r="E675" s="107" t="s">
        <v>4</v>
      </c>
      <c r="F675" s="97"/>
      <c r="G675" s="108"/>
      <c r="H675" s="109"/>
    </row>
    <row r="676" spans="1:9" ht="150.75" hidden="1" thickBot="1" x14ac:dyDescent="0.3">
      <c r="A676" s="102"/>
      <c r="B676" s="7" t="s">
        <v>36</v>
      </c>
      <c r="C676" s="7" t="s">
        <v>5</v>
      </c>
      <c r="D676" s="7" t="s">
        <v>33</v>
      </c>
      <c r="E676" s="7" t="s">
        <v>34</v>
      </c>
      <c r="F676" s="7" t="s">
        <v>35</v>
      </c>
      <c r="G676" s="110"/>
      <c r="H676" s="111"/>
    </row>
    <row r="677" spans="1:9" ht="15.75" hidden="1" thickBot="1" x14ac:dyDescent="0.3">
      <c r="A677" s="24">
        <v>1</v>
      </c>
      <c r="B677" s="7">
        <v>2</v>
      </c>
      <c r="C677" s="11">
        <v>3</v>
      </c>
      <c r="D677" s="7">
        <v>4</v>
      </c>
      <c r="E677" s="11">
        <v>5</v>
      </c>
      <c r="F677" s="7">
        <v>6</v>
      </c>
      <c r="G677" s="96" t="s">
        <v>37</v>
      </c>
      <c r="H677" s="97"/>
    </row>
    <row r="678" spans="1:9" ht="60.75" hidden="1" thickBot="1" x14ac:dyDescent="0.3">
      <c r="A678" s="2" t="s">
        <v>7</v>
      </c>
      <c r="B678" s="6">
        <f>B679</f>
        <v>135609.84</v>
      </c>
      <c r="C678" s="12"/>
      <c r="D678" s="6">
        <f>D679</f>
        <v>42824.160000000003</v>
      </c>
      <c r="E678" s="8" t="s">
        <v>8</v>
      </c>
      <c r="F678" s="8" t="s">
        <v>8</v>
      </c>
      <c r="G678" s="90">
        <f>183317-3309-1725+151</f>
        <v>178434</v>
      </c>
      <c r="H678" s="91"/>
    </row>
    <row r="679" spans="1:9" ht="15.75" hidden="1" thickBot="1" x14ac:dyDescent="0.3">
      <c r="A679" s="3" t="s">
        <v>9</v>
      </c>
      <c r="B679" s="6">
        <f>G679*76%</f>
        <v>135609.84</v>
      </c>
      <c r="C679" s="12"/>
      <c r="D679" s="26">
        <f>G679-B679</f>
        <v>42824.160000000003</v>
      </c>
      <c r="E679" s="8" t="s">
        <v>8</v>
      </c>
      <c r="F679" s="8" t="s">
        <v>8</v>
      </c>
      <c r="G679" s="90">
        <f>G678-G680</f>
        <v>178434</v>
      </c>
      <c r="H679" s="91"/>
    </row>
    <row r="680" spans="1:9" ht="15.75" hidden="1" thickBot="1" x14ac:dyDescent="0.3">
      <c r="A680" s="2" t="s">
        <v>10</v>
      </c>
      <c r="B680" s="6">
        <v>0</v>
      </c>
      <c r="C680" s="12"/>
      <c r="D680" s="6">
        <v>0</v>
      </c>
      <c r="E680" s="8" t="s">
        <v>8</v>
      </c>
      <c r="F680" s="8" t="s">
        <v>8</v>
      </c>
      <c r="G680" s="90"/>
      <c r="H680" s="91"/>
      <c r="I680">
        <f>145707+32421</f>
        <v>178128</v>
      </c>
    </row>
    <row r="681" spans="1:9" ht="60.75" hidden="1" thickBot="1" x14ac:dyDescent="0.3">
      <c r="A681" s="2" t="s">
        <v>11</v>
      </c>
      <c r="B681" s="6">
        <f>G681*76%</f>
        <v>40462.400000000001</v>
      </c>
      <c r="C681" s="12"/>
      <c r="D681" s="26">
        <f>G681-B681</f>
        <v>12777.599999999999</v>
      </c>
      <c r="E681" s="8" t="s">
        <v>8</v>
      </c>
      <c r="F681" s="8" t="s">
        <v>8</v>
      </c>
      <c r="G681" s="90">
        <f>53958-525-42-151</f>
        <v>53240</v>
      </c>
      <c r="H681" s="91"/>
      <c r="I681">
        <v>178128</v>
      </c>
    </row>
    <row r="682" spans="1:9" ht="30.75" hidden="1" thickBot="1" x14ac:dyDescent="0.3">
      <c r="A682" s="2" t="s">
        <v>12</v>
      </c>
      <c r="B682" s="6">
        <f>G682*76%</f>
        <v>4256.76</v>
      </c>
      <c r="C682" s="12"/>
      <c r="D682" s="26">
        <f>G682-B682</f>
        <v>1344.2399999999998</v>
      </c>
      <c r="E682" s="8" t="s">
        <v>8</v>
      </c>
      <c r="F682" s="8" t="s">
        <v>8</v>
      </c>
      <c r="G682" s="90">
        <f>1725+3309+525+42</f>
        <v>5601</v>
      </c>
      <c r="H682" s="91"/>
      <c r="I682" s="10">
        <f>G678+G681+G682</f>
        <v>237275</v>
      </c>
    </row>
    <row r="683" spans="1:9" ht="15.75" hidden="1" thickBot="1" x14ac:dyDescent="0.3">
      <c r="A683" s="2" t="s">
        <v>13</v>
      </c>
      <c r="B683" s="6">
        <f>G683*56%</f>
        <v>0</v>
      </c>
      <c r="C683" s="6"/>
      <c r="D683" s="26">
        <f>G683-B683</f>
        <v>0</v>
      </c>
      <c r="E683" s="8" t="s">
        <v>8</v>
      </c>
      <c r="F683" s="8" t="s">
        <v>8</v>
      </c>
      <c r="G683" s="90">
        <v>0</v>
      </c>
      <c r="H683" s="91"/>
      <c r="I683" s="10">
        <f>I681-I682</f>
        <v>-59147</v>
      </c>
    </row>
    <row r="684" spans="1:9" ht="30.75" hidden="1" thickBot="1" x14ac:dyDescent="0.3">
      <c r="A684" s="2" t="s">
        <v>14</v>
      </c>
      <c r="B684" s="6">
        <f>G684*56%</f>
        <v>11225.76</v>
      </c>
      <c r="C684" s="6"/>
      <c r="D684" s="26">
        <f>G684-B684</f>
        <v>8820.24</v>
      </c>
      <c r="E684" s="8" t="s">
        <v>8</v>
      </c>
      <c r="F684" s="8" t="s">
        <v>8</v>
      </c>
      <c r="G684" s="90">
        <v>20046</v>
      </c>
      <c r="H684" s="91"/>
    </row>
    <row r="685" spans="1:9" ht="45.75" hidden="1" thickBot="1" x14ac:dyDescent="0.3">
      <c r="A685" s="2" t="s">
        <v>15</v>
      </c>
      <c r="B685" s="8" t="s">
        <v>8</v>
      </c>
      <c r="C685" s="8" t="s">
        <v>8</v>
      </c>
      <c r="D685" s="6"/>
      <c r="E685" s="8" t="s">
        <v>8</v>
      </c>
      <c r="F685" s="8" t="s">
        <v>8</v>
      </c>
      <c r="G685" s="90"/>
      <c r="H685" s="91"/>
    </row>
    <row r="686" spans="1:9" ht="15.75" hidden="1" thickBot="1" x14ac:dyDescent="0.3">
      <c r="A686" s="2" t="s">
        <v>16</v>
      </c>
      <c r="B686" s="8" t="s">
        <v>8</v>
      </c>
      <c r="C686" s="8" t="s">
        <v>8</v>
      </c>
      <c r="D686" s="12"/>
      <c r="E686" s="6">
        <v>5250</v>
      </c>
      <c r="F686" s="6"/>
      <c r="G686" s="90">
        <v>18000</v>
      </c>
      <c r="H686" s="91"/>
    </row>
    <row r="687" spans="1:9" ht="15.75" hidden="1" thickBot="1" x14ac:dyDescent="0.3">
      <c r="A687" s="3" t="s">
        <v>17</v>
      </c>
      <c r="B687" s="6">
        <f>G687*56%</f>
        <v>2651.6000000000004</v>
      </c>
      <c r="C687" s="8"/>
      <c r="D687" s="6"/>
      <c r="E687" s="6">
        <f>G687-B687</f>
        <v>2083.3999999999996</v>
      </c>
      <c r="F687" s="6"/>
      <c r="G687" s="90">
        <v>4735</v>
      </c>
      <c r="H687" s="91"/>
    </row>
    <row r="688" spans="1:9" ht="15.75" hidden="1" thickBot="1" x14ac:dyDescent="0.3">
      <c r="A688" s="3" t="s">
        <v>18</v>
      </c>
      <c r="B688" s="6"/>
      <c r="C688" s="8"/>
      <c r="D688" s="8"/>
      <c r="E688" s="6"/>
      <c r="F688" s="6"/>
      <c r="G688" s="90"/>
      <c r="H688" s="91"/>
    </row>
    <row r="689" spans="1:8" ht="45.75" hidden="1" thickBot="1" x14ac:dyDescent="0.3">
      <c r="A689" s="2" t="s">
        <v>19</v>
      </c>
      <c r="B689" s="6"/>
      <c r="C689" s="8"/>
      <c r="D689" s="6"/>
      <c r="E689" s="6"/>
      <c r="F689" s="6"/>
      <c r="G689" s="94"/>
      <c r="H689" s="95"/>
    </row>
    <row r="690" spans="1:8" ht="45.75" hidden="1" thickBot="1" x14ac:dyDescent="0.3">
      <c r="A690" s="2" t="s">
        <v>20</v>
      </c>
      <c r="B690" s="6">
        <f>G690*56%</f>
        <v>129.92000000000002</v>
      </c>
      <c r="C690" s="8"/>
      <c r="D690" s="6"/>
      <c r="E690" s="6">
        <f>G690-B690</f>
        <v>102.07999999999998</v>
      </c>
      <c r="F690" s="6"/>
      <c r="G690" s="90">
        <v>232</v>
      </c>
      <c r="H690" s="91"/>
    </row>
    <row r="691" spans="1:8" ht="30.75" hidden="1" thickBot="1" x14ac:dyDescent="0.3">
      <c r="A691" s="2" t="s">
        <v>21</v>
      </c>
      <c r="B691" s="6">
        <f>G691*56%</f>
        <v>7396.4800000000005</v>
      </c>
      <c r="C691" s="6"/>
      <c r="D691" s="26">
        <f>G691-B691</f>
        <v>5811.5199999999995</v>
      </c>
      <c r="E691" s="8" t="s">
        <v>8</v>
      </c>
      <c r="F691" s="8" t="s">
        <v>8</v>
      </c>
      <c r="G691" s="90">
        <f>570+11868+613+157</f>
        <v>13208</v>
      </c>
      <c r="H691" s="91"/>
    </row>
    <row r="692" spans="1:8" ht="15.75" hidden="1" thickBot="1" x14ac:dyDescent="0.3">
      <c r="A692" s="3" t="s">
        <v>22</v>
      </c>
      <c r="B692" s="6">
        <f>G692*56%</f>
        <v>300.72000000000003</v>
      </c>
      <c r="C692" s="6"/>
      <c r="D692" s="26">
        <f>G692-B692</f>
        <v>236.27999999999997</v>
      </c>
      <c r="E692" s="8" t="s">
        <v>8</v>
      </c>
      <c r="F692" s="8" t="s">
        <v>8</v>
      </c>
      <c r="G692" s="90">
        <f>519+18</f>
        <v>537</v>
      </c>
      <c r="H692" s="91"/>
    </row>
    <row r="693" spans="1:8" ht="15.75" hidden="1" thickBot="1" x14ac:dyDescent="0.3">
      <c r="A693" s="3" t="s">
        <v>23</v>
      </c>
      <c r="B693" s="8" t="s">
        <v>8</v>
      </c>
      <c r="C693" s="12"/>
      <c r="D693" s="8" t="s">
        <v>8</v>
      </c>
      <c r="E693" s="8" t="s">
        <v>8</v>
      </c>
      <c r="F693" s="8" t="s">
        <v>8</v>
      </c>
      <c r="G693" s="94"/>
      <c r="H693" s="95"/>
    </row>
    <row r="694" spans="1:8" ht="15.75" hidden="1" thickBot="1" x14ac:dyDescent="0.3">
      <c r="A694" s="3" t="s">
        <v>24</v>
      </c>
      <c r="B694" s="6">
        <f>G694*56%</f>
        <v>0</v>
      </c>
      <c r="C694" s="6"/>
      <c r="D694" s="6"/>
      <c r="E694" s="8" t="s">
        <v>8</v>
      </c>
      <c r="F694" s="8" t="s">
        <v>8</v>
      </c>
      <c r="G694" s="90"/>
      <c r="H694" s="91"/>
    </row>
    <row r="695" spans="1:8" ht="15.75" hidden="1" thickBot="1" x14ac:dyDescent="0.3">
      <c r="A695" s="4" t="s">
        <v>25</v>
      </c>
      <c r="B695" s="6">
        <f>SUM(B679:B694)</f>
        <v>202033.48000000004</v>
      </c>
      <c r="C695" s="6"/>
      <c r="D695" s="6">
        <f>SUM(D679:D694)</f>
        <v>71814.040000000008</v>
      </c>
      <c r="E695" s="6">
        <f>SUM(E679:E694)</f>
        <v>7435.48</v>
      </c>
      <c r="F695" s="6"/>
      <c r="G695" s="90">
        <f>SUM(G679:H694)</f>
        <v>294033</v>
      </c>
      <c r="H695" s="91"/>
    </row>
    <row r="696" spans="1:8" hidden="1" x14ac:dyDescent="0.25">
      <c r="A696" s="92" t="s">
        <v>26</v>
      </c>
      <c r="B696" s="92"/>
      <c r="C696" s="92"/>
      <c r="D696" s="92"/>
      <c r="E696" s="92"/>
      <c r="F696" s="92"/>
      <c r="G696" s="92"/>
      <c r="H696" s="92"/>
    </row>
    <row r="697" spans="1:8" hidden="1" x14ac:dyDescent="0.25">
      <c r="A697" s="93" t="s">
        <v>27</v>
      </c>
      <c r="B697" s="93"/>
      <c r="C697" s="93"/>
      <c r="D697" s="93"/>
      <c r="E697" s="93"/>
      <c r="F697" s="93"/>
      <c r="G697" s="93"/>
      <c r="H697" s="93"/>
    </row>
    <row r="698" spans="1:8" hidden="1" x14ac:dyDescent="0.25">
      <c r="A698" s="93" t="s">
        <v>28</v>
      </c>
      <c r="B698" s="93"/>
      <c r="C698" s="93"/>
      <c r="D698" s="93"/>
      <c r="E698" s="93"/>
      <c r="F698" s="93"/>
      <c r="G698" s="93"/>
      <c r="H698" s="93"/>
    </row>
    <row r="699" spans="1:8" hidden="1" x14ac:dyDescent="0.25">
      <c r="A699" s="1"/>
      <c r="B699" s="9"/>
      <c r="C699" s="9"/>
      <c r="D699" s="9"/>
      <c r="E699" s="9"/>
      <c r="F699" s="9"/>
      <c r="G699" s="9"/>
      <c r="H699" s="9"/>
    </row>
    <row r="700" spans="1:8" ht="15.75" hidden="1" x14ac:dyDescent="0.25">
      <c r="A700" s="5"/>
    </row>
    <row r="701" spans="1:8" hidden="1" x14ac:dyDescent="0.25">
      <c r="B701" s="13" t="s">
        <v>50</v>
      </c>
      <c r="C701" s="13">
        <v>234022</v>
      </c>
    </row>
    <row r="702" spans="1:8" hidden="1" x14ac:dyDescent="0.25">
      <c r="C702" s="10">
        <f>C701-B695</f>
        <v>31988.51999999996</v>
      </c>
    </row>
    <row r="703" spans="1:8" hidden="1" x14ac:dyDescent="0.25"/>
    <row r="704" spans="1:8" hidden="1" x14ac:dyDescent="0.25"/>
  </sheetData>
  <mergeCells count="695">
    <mergeCell ref="G695:H695"/>
    <mergeCell ref="A696:H696"/>
    <mergeCell ref="A697:H697"/>
    <mergeCell ref="A698:H698"/>
    <mergeCell ref="G689:H689"/>
    <mergeCell ref="G690:H690"/>
    <mergeCell ref="G691:H691"/>
    <mergeCell ref="G692:H692"/>
    <mergeCell ref="G693:H693"/>
    <mergeCell ref="G694:H694"/>
    <mergeCell ref="G684:H684"/>
    <mergeCell ref="G685:H685"/>
    <mergeCell ref="G686:H686"/>
    <mergeCell ref="G687:H687"/>
    <mergeCell ref="G688:H688"/>
    <mergeCell ref="G677:H677"/>
    <mergeCell ref="G678:H678"/>
    <mergeCell ref="G679:H679"/>
    <mergeCell ref="G680:H680"/>
    <mergeCell ref="G681:H681"/>
    <mergeCell ref="G682:H682"/>
    <mergeCell ref="A673:H673"/>
    <mergeCell ref="A674:A676"/>
    <mergeCell ref="B674:F674"/>
    <mergeCell ref="G674:H674"/>
    <mergeCell ref="B675:C675"/>
    <mergeCell ref="E675:F675"/>
    <mergeCell ref="G675:H675"/>
    <mergeCell ref="G676:H676"/>
    <mergeCell ref="G683:H683"/>
    <mergeCell ref="G656:H656"/>
    <mergeCell ref="A657:H657"/>
    <mergeCell ref="A658:H658"/>
    <mergeCell ref="A659:H659"/>
    <mergeCell ref="E670:H670"/>
    <mergeCell ref="A671:A672"/>
    <mergeCell ref="B671:B672"/>
    <mergeCell ref="C671:C672"/>
    <mergeCell ref="D671:D672"/>
    <mergeCell ref="E671:H671"/>
    <mergeCell ref="E672:H672"/>
    <mergeCell ref="G650:H650"/>
    <mergeCell ref="G651:H651"/>
    <mergeCell ref="G652:H652"/>
    <mergeCell ref="G653:H653"/>
    <mergeCell ref="G654:H654"/>
    <mergeCell ref="G655:H655"/>
    <mergeCell ref="G644:H644"/>
    <mergeCell ref="G645:H645"/>
    <mergeCell ref="G646:H646"/>
    <mergeCell ref="G647:H647"/>
    <mergeCell ref="G648:H648"/>
    <mergeCell ref="G649:H649"/>
    <mergeCell ref="G638:H638"/>
    <mergeCell ref="G639:H639"/>
    <mergeCell ref="G640:H640"/>
    <mergeCell ref="G641:H641"/>
    <mergeCell ref="G642:H642"/>
    <mergeCell ref="G643:H643"/>
    <mergeCell ref="E633:H633"/>
    <mergeCell ref="A634:H634"/>
    <mergeCell ref="A635:A637"/>
    <mergeCell ref="B635:F635"/>
    <mergeCell ref="G635:H635"/>
    <mergeCell ref="B636:C636"/>
    <mergeCell ref="E636:F636"/>
    <mergeCell ref="G636:H636"/>
    <mergeCell ref="G637:H637"/>
    <mergeCell ref="G620:H620"/>
    <mergeCell ref="A621:H621"/>
    <mergeCell ref="A622:H622"/>
    <mergeCell ref="A623:H623"/>
    <mergeCell ref="E631:H631"/>
    <mergeCell ref="A632:A633"/>
    <mergeCell ref="B632:B633"/>
    <mergeCell ref="C632:C633"/>
    <mergeCell ref="D632:D633"/>
    <mergeCell ref="E632:H632"/>
    <mergeCell ref="G614:H614"/>
    <mergeCell ref="G615:H615"/>
    <mergeCell ref="G616:H616"/>
    <mergeCell ref="G617:H617"/>
    <mergeCell ref="G618:H618"/>
    <mergeCell ref="G619:H619"/>
    <mergeCell ref="G608:H608"/>
    <mergeCell ref="G609:H609"/>
    <mergeCell ref="G610:H610"/>
    <mergeCell ref="G611:H611"/>
    <mergeCell ref="G612:H612"/>
    <mergeCell ref="G613:H613"/>
    <mergeCell ref="G602:H602"/>
    <mergeCell ref="G603:H603"/>
    <mergeCell ref="G604:H604"/>
    <mergeCell ref="G605:H605"/>
    <mergeCell ref="G606:H606"/>
    <mergeCell ref="G607:H607"/>
    <mergeCell ref="E597:H597"/>
    <mergeCell ref="A598:H598"/>
    <mergeCell ref="A599:A601"/>
    <mergeCell ref="B599:F599"/>
    <mergeCell ref="G599:H599"/>
    <mergeCell ref="B600:C600"/>
    <mergeCell ref="E600:F600"/>
    <mergeCell ref="G600:H600"/>
    <mergeCell ref="G601:H601"/>
    <mergeCell ref="G586:H586"/>
    <mergeCell ref="A587:H587"/>
    <mergeCell ref="A588:H588"/>
    <mergeCell ref="A589:H589"/>
    <mergeCell ref="E595:H595"/>
    <mergeCell ref="A596:A597"/>
    <mergeCell ref="B596:B597"/>
    <mergeCell ref="C596:C597"/>
    <mergeCell ref="D596:D597"/>
    <mergeCell ref="E596:H596"/>
    <mergeCell ref="G580:H580"/>
    <mergeCell ref="G581:H581"/>
    <mergeCell ref="G582:H582"/>
    <mergeCell ref="G583:H583"/>
    <mergeCell ref="G584:H584"/>
    <mergeCell ref="G585:H585"/>
    <mergeCell ref="G574:H574"/>
    <mergeCell ref="G575:H575"/>
    <mergeCell ref="G576:H576"/>
    <mergeCell ref="G577:H577"/>
    <mergeCell ref="G578:H578"/>
    <mergeCell ref="G579:H579"/>
    <mergeCell ref="G568:H568"/>
    <mergeCell ref="G569:H569"/>
    <mergeCell ref="G570:H570"/>
    <mergeCell ref="G571:H571"/>
    <mergeCell ref="G572:H572"/>
    <mergeCell ref="G573:H573"/>
    <mergeCell ref="E563:H563"/>
    <mergeCell ref="A564:H564"/>
    <mergeCell ref="A565:A567"/>
    <mergeCell ref="B565:F565"/>
    <mergeCell ref="G565:H565"/>
    <mergeCell ref="B566:C566"/>
    <mergeCell ref="E566:F566"/>
    <mergeCell ref="G566:H566"/>
    <mergeCell ref="G567:H567"/>
    <mergeCell ref="G550:H550"/>
    <mergeCell ref="A551:H551"/>
    <mergeCell ref="A552:H552"/>
    <mergeCell ref="A553:H553"/>
    <mergeCell ref="E561:H561"/>
    <mergeCell ref="A562:A563"/>
    <mergeCell ref="B562:B563"/>
    <mergeCell ref="C562:C563"/>
    <mergeCell ref="D562:D563"/>
    <mergeCell ref="E562:H562"/>
    <mergeCell ref="G544:H544"/>
    <mergeCell ref="G545:H545"/>
    <mergeCell ref="G546:H546"/>
    <mergeCell ref="G547:H547"/>
    <mergeCell ref="G548:H548"/>
    <mergeCell ref="G549:H549"/>
    <mergeCell ref="G538:H538"/>
    <mergeCell ref="G539:H539"/>
    <mergeCell ref="G540:H540"/>
    <mergeCell ref="G541:H541"/>
    <mergeCell ref="G542:H542"/>
    <mergeCell ref="G543:H543"/>
    <mergeCell ref="G532:H532"/>
    <mergeCell ref="G533:H533"/>
    <mergeCell ref="G534:H534"/>
    <mergeCell ref="G535:H535"/>
    <mergeCell ref="G536:H536"/>
    <mergeCell ref="G537:H537"/>
    <mergeCell ref="E527:H527"/>
    <mergeCell ref="A528:H528"/>
    <mergeCell ref="A529:A531"/>
    <mergeCell ref="B529:F529"/>
    <mergeCell ref="G529:H529"/>
    <mergeCell ref="B530:C530"/>
    <mergeCell ref="E530:F530"/>
    <mergeCell ref="G530:H530"/>
    <mergeCell ref="G531:H531"/>
    <mergeCell ref="G515:H515"/>
    <mergeCell ref="A516:H516"/>
    <mergeCell ref="A517:H517"/>
    <mergeCell ref="A518:H518"/>
    <mergeCell ref="E525:H525"/>
    <mergeCell ref="A526:A527"/>
    <mergeCell ref="B526:B527"/>
    <mergeCell ref="C526:C527"/>
    <mergeCell ref="D526:D527"/>
    <mergeCell ref="E526:H526"/>
    <mergeCell ref="G509:H509"/>
    <mergeCell ref="G510:H510"/>
    <mergeCell ref="G511:H511"/>
    <mergeCell ref="G512:H512"/>
    <mergeCell ref="G513:H513"/>
    <mergeCell ref="G514:H514"/>
    <mergeCell ref="G503:H503"/>
    <mergeCell ref="G504:H504"/>
    <mergeCell ref="G505:H505"/>
    <mergeCell ref="G506:H506"/>
    <mergeCell ref="G507:H507"/>
    <mergeCell ref="G508:H508"/>
    <mergeCell ref="G497:H497"/>
    <mergeCell ref="G498:H498"/>
    <mergeCell ref="G499:H499"/>
    <mergeCell ref="G500:H500"/>
    <mergeCell ref="G501:H501"/>
    <mergeCell ref="G502:H502"/>
    <mergeCell ref="E492:H492"/>
    <mergeCell ref="A493:H493"/>
    <mergeCell ref="A494:A496"/>
    <mergeCell ref="B494:F494"/>
    <mergeCell ref="G494:H494"/>
    <mergeCell ref="B495:C495"/>
    <mergeCell ref="E495:F495"/>
    <mergeCell ref="G495:H495"/>
    <mergeCell ref="G496:H496"/>
    <mergeCell ref="G481:H481"/>
    <mergeCell ref="A482:H482"/>
    <mergeCell ref="A483:H483"/>
    <mergeCell ref="A484:H484"/>
    <mergeCell ref="E490:H490"/>
    <mergeCell ref="A491:A492"/>
    <mergeCell ref="B491:B492"/>
    <mergeCell ref="C491:C492"/>
    <mergeCell ref="D491:D492"/>
    <mergeCell ref="E491:H491"/>
    <mergeCell ref="G475:H475"/>
    <mergeCell ref="G476:H476"/>
    <mergeCell ref="G477:H477"/>
    <mergeCell ref="G478:H478"/>
    <mergeCell ref="G479:H479"/>
    <mergeCell ref="G480:H480"/>
    <mergeCell ref="G469:H469"/>
    <mergeCell ref="G470:H470"/>
    <mergeCell ref="G471:H471"/>
    <mergeCell ref="G472:H472"/>
    <mergeCell ref="G473:H473"/>
    <mergeCell ref="G474:H474"/>
    <mergeCell ref="G463:H463"/>
    <mergeCell ref="G464:H464"/>
    <mergeCell ref="G465:H465"/>
    <mergeCell ref="G466:H466"/>
    <mergeCell ref="G467:H467"/>
    <mergeCell ref="G468:H468"/>
    <mergeCell ref="E458:H458"/>
    <mergeCell ref="A459:H459"/>
    <mergeCell ref="A460:A462"/>
    <mergeCell ref="B460:F460"/>
    <mergeCell ref="G460:H460"/>
    <mergeCell ref="B461:C461"/>
    <mergeCell ref="E461:F461"/>
    <mergeCell ref="G461:H461"/>
    <mergeCell ref="G462:H462"/>
    <mergeCell ref="G180:H180"/>
    <mergeCell ref="A181:H181"/>
    <mergeCell ref="A182:H182"/>
    <mergeCell ref="A183:H183"/>
    <mergeCell ref="E456:H456"/>
    <mergeCell ref="A457:A458"/>
    <mergeCell ref="B457:B458"/>
    <mergeCell ref="C457:C458"/>
    <mergeCell ref="D457:D458"/>
    <mergeCell ref="E457:H457"/>
    <mergeCell ref="E191:H191"/>
    <mergeCell ref="A192:A193"/>
    <mergeCell ref="B192:B193"/>
    <mergeCell ref="C192:C193"/>
    <mergeCell ref="D192:D193"/>
    <mergeCell ref="E192:H192"/>
    <mergeCell ref="E193:H193"/>
    <mergeCell ref="A194:H194"/>
    <mergeCell ref="A195:A197"/>
    <mergeCell ref="B195:F195"/>
    <mergeCell ref="G195:H195"/>
    <mergeCell ref="B196:C196"/>
    <mergeCell ref="E196:F196"/>
    <mergeCell ref="G196:H196"/>
    <mergeCell ref="G174:H174"/>
    <mergeCell ref="G175:H175"/>
    <mergeCell ref="G176:H176"/>
    <mergeCell ref="G177:H177"/>
    <mergeCell ref="G178:H178"/>
    <mergeCell ref="G179:H179"/>
    <mergeCell ref="G168:H168"/>
    <mergeCell ref="G169:H169"/>
    <mergeCell ref="G170:H170"/>
    <mergeCell ref="G171:H171"/>
    <mergeCell ref="G172:H172"/>
    <mergeCell ref="G173:H173"/>
    <mergeCell ref="G162:H162"/>
    <mergeCell ref="G163:H163"/>
    <mergeCell ref="G164:H164"/>
    <mergeCell ref="G165:H165"/>
    <mergeCell ref="G166:H166"/>
    <mergeCell ref="G167:H167"/>
    <mergeCell ref="E157:H157"/>
    <mergeCell ref="A158:H158"/>
    <mergeCell ref="A159:A161"/>
    <mergeCell ref="B159:F159"/>
    <mergeCell ref="G159:H159"/>
    <mergeCell ref="B160:C160"/>
    <mergeCell ref="E160:F160"/>
    <mergeCell ref="G160:H160"/>
    <mergeCell ref="G161:H161"/>
    <mergeCell ref="G141:H141"/>
    <mergeCell ref="A142:H142"/>
    <mergeCell ref="A143:H143"/>
    <mergeCell ref="A144:H144"/>
    <mergeCell ref="E155:H155"/>
    <mergeCell ref="A156:A157"/>
    <mergeCell ref="B156:B157"/>
    <mergeCell ref="C156:C157"/>
    <mergeCell ref="D156:D157"/>
    <mergeCell ref="E156:H156"/>
    <mergeCell ref="G135:H135"/>
    <mergeCell ref="G136:H136"/>
    <mergeCell ref="G137:H137"/>
    <mergeCell ref="G138:H138"/>
    <mergeCell ref="G139:H139"/>
    <mergeCell ref="G140:H140"/>
    <mergeCell ref="G129:H129"/>
    <mergeCell ref="G130:H130"/>
    <mergeCell ref="G131:H131"/>
    <mergeCell ref="G132:H132"/>
    <mergeCell ref="G133:H133"/>
    <mergeCell ref="G134:H134"/>
    <mergeCell ref="G123:H123"/>
    <mergeCell ref="G124:H124"/>
    <mergeCell ref="G125:H125"/>
    <mergeCell ref="G126:H126"/>
    <mergeCell ref="G127:H127"/>
    <mergeCell ref="G128:H128"/>
    <mergeCell ref="E118:H118"/>
    <mergeCell ref="A119:H119"/>
    <mergeCell ref="A120:A122"/>
    <mergeCell ref="B120:F120"/>
    <mergeCell ref="G120:H120"/>
    <mergeCell ref="B121:C121"/>
    <mergeCell ref="E121:F121"/>
    <mergeCell ref="G121:H121"/>
    <mergeCell ref="G122:H122"/>
    <mergeCell ref="G102:H102"/>
    <mergeCell ref="A103:H103"/>
    <mergeCell ref="A104:H104"/>
    <mergeCell ref="A105:H105"/>
    <mergeCell ref="E116:H116"/>
    <mergeCell ref="A117:A118"/>
    <mergeCell ref="B117:B118"/>
    <mergeCell ref="C117:C118"/>
    <mergeCell ref="D117:D118"/>
    <mergeCell ref="E117:H117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E79:H79"/>
    <mergeCell ref="A80:H80"/>
    <mergeCell ref="A81:A83"/>
    <mergeCell ref="B81:F81"/>
    <mergeCell ref="G81:H81"/>
    <mergeCell ref="B82:C82"/>
    <mergeCell ref="E82:F82"/>
    <mergeCell ref="G82:H82"/>
    <mergeCell ref="G83:H83"/>
    <mergeCell ref="G66:H66"/>
    <mergeCell ref="A67:H67"/>
    <mergeCell ref="A68:H68"/>
    <mergeCell ref="A69:H69"/>
    <mergeCell ref="E77:H77"/>
    <mergeCell ref="A78:A79"/>
    <mergeCell ref="B78:B79"/>
    <mergeCell ref="C78:C79"/>
    <mergeCell ref="D78:D79"/>
    <mergeCell ref="E78:H78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E43:H43"/>
    <mergeCell ref="A44:H44"/>
    <mergeCell ref="A45:A47"/>
    <mergeCell ref="B45:F45"/>
    <mergeCell ref="G45:H45"/>
    <mergeCell ref="B46:C46"/>
    <mergeCell ref="E46:F46"/>
    <mergeCell ref="G46:H46"/>
    <mergeCell ref="G47:H47"/>
    <mergeCell ref="G28:H28"/>
    <mergeCell ref="A29:H29"/>
    <mergeCell ref="A30:H30"/>
    <mergeCell ref="A31:H31"/>
    <mergeCell ref="E41:H41"/>
    <mergeCell ref="A42:A43"/>
    <mergeCell ref="B42:B43"/>
    <mergeCell ref="C42:C43"/>
    <mergeCell ref="D42:D43"/>
    <mergeCell ref="E42:H42"/>
    <mergeCell ref="G22:H22"/>
    <mergeCell ref="G23:H23"/>
    <mergeCell ref="G24:H24"/>
    <mergeCell ref="G25:H25"/>
    <mergeCell ref="G26:H26"/>
    <mergeCell ref="G27:H27"/>
    <mergeCell ref="G16:H16"/>
    <mergeCell ref="G17:H17"/>
    <mergeCell ref="G18:H18"/>
    <mergeCell ref="G19:H19"/>
    <mergeCell ref="G20:H20"/>
    <mergeCell ref="G21:H21"/>
    <mergeCell ref="G12:H12"/>
    <mergeCell ref="G13:H13"/>
    <mergeCell ref="G14:H14"/>
    <mergeCell ref="G15:H15"/>
    <mergeCell ref="A6:H6"/>
    <mergeCell ref="A7:A9"/>
    <mergeCell ref="B7:F7"/>
    <mergeCell ref="G7:H7"/>
    <mergeCell ref="B8:C8"/>
    <mergeCell ref="E8:F8"/>
    <mergeCell ref="G8:H8"/>
    <mergeCell ref="G9:H9"/>
    <mergeCell ref="E3:H3"/>
    <mergeCell ref="A4:A5"/>
    <mergeCell ref="B4:B5"/>
    <mergeCell ref="C4:C5"/>
    <mergeCell ref="D4:D5"/>
    <mergeCell ref="E4:H4"/>
    <mergeCell ref="E5:H5"/>
    <mergeCell ref="G10:H10"/>
    <mergeCell ref="G11:H11"/>
    <mergeCell ref="G197:H197"/>
    <mergeCell ref="G198:H198"/>
    <mergeCell ref="G199:H199"/>
    <mergeCell ref="G200:H200"/>
    <mergeCell ref="G201:H201"/>
    <mergeCell ref="G202:H202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212:H212"/>
    <mergeCell ref="G213:H213"/>
    <mergeCell ref="G214:H214"/>
    <mergeCell ref="G215:H215"/>
    <mergeCell ref="G216:H216"/>
    <mergeCell ref="A217:H217"/>
    <mergeCell ref="A218:H218"/>
    <mergeCell ref="A219:H219"/>
    <mergeCell ref="E228:H228"/>
    <mergeCell ref="A229:A230"/>
    <mergeCell ref="B229:B230"/>
    <mergeCell ref="C229:C230"/>
    <mergeCell ref="D229:D230"/>
    <mergeCell ref="E229:H229"/>
    <mergeCell ref="E230:H230"/>
    <mergeCell ref="A231:H231"/>
    <mergeCell ref="A232:A234"/>
    <mergeCell ref="B232:F232"/>
    <mergeCell ref="G232:H232"/>
    <mergeCell ref="B233:C233"/>
    <mergeCell ref="E233:F233"/>
    <mergeCell ref="G233:H233"/>
    <mergeCell ref="G234:H234"/>
    <mergeCell ref="G235:H235"/>
    <mergeCell ref="G236:H236"/>
    <mergeCell ref="G237:H237"/>
    <mergeCell ref="G238:H238"/>
    <mergeCell ref="G239:H239"/>
    <mergeCell ref="G240:H240"/>
    <mergeCell ref="G241:H241"/>
    <mergeCell ref="G242:H242"/>
    <mergeCell ref="G243:H243"/>
    <mergeCell ref="G244:H244"/>
    <mergeCell ref="A254:H254"/>
    <mergeCell ref="A255:H255"/>
    <mergeCell ref="A256:H256"/>
    <mergeCell ref="G245:H245"/>
    <mergeCell ref="G246:H246"/>
    <mergeCell ref="G247:H247"/>
    <mergeCell ref="G248:H248"/>
    <mergeCell ref="G249:H249"/>
    <mergeCell ref="G250:H250"/>
    <mergeCell ref="G251:H251"/>
    <mergeCell ref="G252:H252"/>
    <mergeCell ref="G253:H253"/>
    <mergeCell ref="G278:H278"/>
    <mergeCell ref="G279:H279"/>
    <mergeCell ref="G280:H280"/>
    <mergeCell ref="G281:H281"/>
    <mergeCell ref="A268:H268"/>
    <mergeCell ref="A269:A271"/>
    <mergeCell ref="B269:F269"/>
    <mergeCell ref="G269:H269"/>
    <mergeCell ref="B270:C270"/>
    <mergeCell ref="E270:F270"/>
    <mergeCell ref="G270:H270"/>
    <mergeCell ref="G271:H271"/>
    <mergeCell ref="G272:H272"/>
    <mergeCell ref="A291:H291"/>
    <mergeCell ref="A292:H292"/>
    <mergeCell ref="A293:H293"/>
    <mergeCell ref="E265:H265"/>
    <mergeCell ref="A266:A267"/>
    <mergeCell ref="B266:B267"/>
    <mergeCell ref="C266:C267"/>
    <mergeCell ref="D266:D267"/>
    <mergeCell ref="E266:H266"/>
    <mergeCell ref="E267:H267"/>
    <mergeCell ref="G282:H282"/>
    <mergeCell ref="G283:H283"/>
    <mergeCell ref="G284:H284"/>
    <mergeCell ref="G285:H285"/>
    <mergeCell ref="G286:H286"/>
    <mergeCell ref="G287:H287"/>
    <mergeCell ref="G288:H288"/>
    <mergeCell ref="G289:H289"/>
    <mergeCell ref="G290:H290"/>
    <mergeCell ref="G273:H273"/>
    <mergeCell ref="G274:H274"/>
    <mergeCell ref="G275:H275"/>
    <mergeCell ref="G276:H276"/>
    <mergeCell ref="G277:H277"/>
    <mergeCell ref="E299:H299"/>
    <mergeCell ref="A300:A301"/>
    <mergeCell ref="B300:B301"/>
    <mergeCell ref="C300:C301"/>
    <mergeCell ref="D300:D301"/>
    <mergeCell ref="E300:H300"/>
    <mergeCell ref="E301:H301"/>
    <mergeCell ref="A302:H302"/>
    <mergeCell ref="A303:A305"/>
    <mergeCell ref="B303:F303"/>
    <mergeCell ref="G303:H303"/>
    <mergeCell ref="B304:C304"/>
    <mergeCell ref="E304:F304"/>
    <mergeCell ref="G304:H304"/>
    <mergeCell ref="G305:H305"/>
    <mergeCell ref="G306:H306"/>
    <mergeCell ref="G307:H307"/>
    <mergeCell ref="G308:H308"/>
    <mergeCell ref="G309:H309"/>
    <mergeCell ref="G310:H310"/>
    <mergeCell ref="G311:H311"/>
    <mergeCell ref="G312:H312"/>
    <mergeCell ref="G313:H313"/>
    <mergeCell ref="G314:H314"/>
    <mergeCell ref="G324:H324"/>
    <mergeCell ref="A325:H325"/>
    <mergeCell ref="A326:H326"/>
    <mergeCell ref="A327:H327"/>
    <mergeCell ref="G315:H315"/>
    <mergeCell ref="G316:H316"/>
    <mergeCell ref="G317:H317"/>
    <mergeCell ref="G318:H318"/>
    <mergeCell ref="G319:H319"/>
    <mergeCell ref="G320:H320"/>
    <mergeCell ref="G321:H321"/>
    <mergeCell ref="G322:H322"/>
    <mergeCell ref="G323:H323"/>
    <mergeCell ref="E337:H337"/>
    <mergeCell ref="A338:A339"/>
    <mergeCell ref="B338:B339"/>
    <mergeCell ref="C338:C339"/>
    <mergeCell ref="D338:D339"/>
    <mergeCell ref="E338:H338"/>
    <mergeCell ref="E339:H339"/>
    <mergeCell ref="A340:H340"/>
    <mergeCell ref="A341:A343"/>
    <mergeCell ref="B341:F341"/>
    <mergeCell ref="G341:H341"/>
    <mergeCell ref="B342:C342"/>
    <mergeCell ref="E342:F342"/>
    <mergeCell ref="G342:H342"/>
    <mergeCell ref="G343:H343"/>
    <mergeCell ref="G344:H344"/>
    <mergeCell ref="G345:H345"/>
    <mergeCell ref="G346:H346"/>
    <mergeCell ref="G347:H347"/>
    <mergeCell ref="G348:H348"/>
    <mergeCell ref="G349:H349"/>
    <mergeCell ref="G350:H350"/>
    <mergeCell ref="G351:H351"/>
    <mergeCell ref="G352:H352"/>
    <mergeCell ref="G353:H353"/>
    <mergeCell ref="G354:H354"/>
    <mergeCell ref="G355:H355"/>
    <mergeCell ref="G356:H356"/>
    <mergeCell ref="G357:H357"/>
    <mergeCell ref="G358:H358"/>
    <mergeCell ref="G359:H359"/>
    <mergeCell ref="G360:H360"/>
    <mergeCell ref="G361:H361"/>
    <mergeCell ref="G362:H362"/>
    <mergeCell ref="A363:H363"/>
    <mergeCell ref="A364:H364"/>
    <mergeCell ref="A365:H365"/>
    <mergeCell ref="E373:H373"/>
    <mergeCell ref="A374:A375"/>
    <mergeCell ref="B374:B375"/>
    <mergeCell ref="C374:C375"/>
    <mergeCell ref="D374:D375"/>
    <mergeCell ref="E374:H374"/>
    <mergeCell ref="E375:H375"/>
    <mergeCell ref="A376:H376"/>
    <mergeCell ref="A377:A379"/>
    <mergeCell ref="B377:F377"/>
    <mergeCell ref="G377:H377"/>
    <mergeCell ref="B378:C378"/>
    <mergeCell ref="E378:F378"/>
    <mergeCell ref="G378:H378"/>
    <mergeCell ref="G379:H379"/>
    <mergeCell ref="G380:H380"/>
    <mergeCell ref="G381:H381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A399:H399"/>
    <mergeCell ref="A400:H400"/>
    <mergeCell ref="A401:H401"/>
    <mergeCell ref="A415:H419"/>
    <mergeCell ref="G390:H390"/>
    <mergeCell ref="G391:H391"/>
    <mergeCell ref="G392:H392"/>
    <mergeCell ref="G393:H393"/>
    <mergeCell ref="G394:H394"/>
    <mergeCell ref="G395:H395"/>
    <mergeCell ref="G396:H396"/>
    <mergeCell ref="G397:H397"/>
    <mergeCell ref="G398:H398"/>
    <mergeCell ref="A420:H420"/>
    <mergeCell ref="A421:A423"/>
    <mergeCell ref="B421:F421"/>
    <mergeCell ref="G421:H421"/>
    <mergeCell ref="B422:C422"/>
    <mergeCell ref="E422:F422"/>
    <mergeCell ref="G422:H422"/>
    <mergeCell ref="G423:H423"/>
    <mergeCell ref="G424:H424"/>
    <mergeCell ref="A443:H446"/>
    <mergeCell ref="G425:H425"/>
    <mergeCell ref="G426:H426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G442:H442"/>
  </mergeCells>
  <pageMargins left="0.11811023622047245" right="0.11811023622047245" top="0.15748031496062992" bottom="0.15748031496062992" header="0.31496062992125984" footer="0.31496062992125984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8"/>
  <sheetViews>
    <sheetView zoomScale="80" zoomScaleNormal="80" workbookViewId="0">
      <selection activeCell="D11" sqref="D11:D12"/>
    </sheetView>
  </sheetViews>
  <sheetFormatPr defaultRowHeight="15" x14ac:dyDescent="0.25"/>
  <cols>
    <col min="1" max="1" width="35.42578125" customWidth="1"/>
    <col min="2" max="2" width="24.85546875" style="10" customWidth="1"/>
    <col min="3" max="3" width="13.85546875" style="10" customWidth="1"/>
    <col min="4" max="4" width="13.42578125" style="10" customWidth="1"/>
    <col min="5" max="5" width="17.28515625" style="10" customWidth="1"/>
    <col min="6" max="6" width="10" style="10" customWidth="1"/>
    <col min="7" max="7" width="12.7109375" style="10" customWidth="1"/>
    <col min="8" max="8" width="8.140625" style="10" customWidth="1"/>
    <col min="11" max="11" width="13.85546875" bestFit="1" customWidth="1"/>
  </cols>
  <sheetData>
    <row r="2" spans="1:9" x14ac:dyDescent="0.25">
      <c r="A2" s="27"/>
      <c r="B2" s="28"/>
      <c r="C2" s="28"/>
      <c r="D2" s="28"/>
      <c r="E2" s="112" t="s">
        <v>29</v>
      </c>
      <c r="F2" s="112"/>
      <c r="G2" s="112"/>
      <c r="H2" s="112"/>
    </row>
    <row r="3" spans="1:9" x14ac:dyDescent="0.25">
      <c r="A3" s="113"/>
      <c r="B3" s="114"/>
      <c r="C3" s="114"/>
      <c r="D3" s="115"/>
      <c r="E3" s="115" t="s">
        <v>0</v>
      </c>
      <c r="F3" s="115"/>
      <c r="G3" s="115"/>
      <c r="H3" s="115"/>
    </row>
    <row r="4" spans="1:9" x14ac:dyDescent="0.25">
      <c r="A4" s="113"/>
      <c r="B4" s="114"/>
      <c r="C4" s="114"/>
      <c r="D4" s="115"/>
      <c r="E4" s="128" t="s">
        <v>31</v>
      </c>
      <c r="F4" s="115"/>
      <c r="G4" s="115"/>
      <c r="H4" s="115"/>
    </row>
    <row r="5" spans="1:9" ht="15.75" thickBot="1" x14ac:dyDescent="0.3">
      <c r="A5" s="98" t="s">
        <v>120</v>
      </c>
      <c r="B5" s="98"/>
      <c r="C5" s="98"/>
      <c r="D5" s="98"/>
      <c r="E5" s="98"/>
      <c r="F5" s="98"/>
      <c r="G5" s="98"/>
      <c r="H5" s="98"/>
    </row>
    <row r="6" spans="1:9" x14ac:dyDescent="0.25">
      <c r="A6" s="100" t="s">
        <v>2</v>
      </c>
      <c r="B6" s="103" t="s">
        <v>30</v>
      </c>
      <c r="C6" s="104"/>
      <c r="D6" s="104"/>
      <c r="E6" s="104"/>
      <c r="F6" s="104"/>
      <c r="G6" s="105" t="s">
        <v>3</v>
      </c>
      <c r="H6" s="106"/>
    </row>
    <row r="7" spans="1:9" ht="180.75" thickBot="1" x14ac:dyDescent="0.3">
      <c r="A7" s="124"/>
      <c r="B7" s="105" t="s">
        <v>30</v>
      </c>
      <c r="C7" s="105"/>
      <c r="D7" s="15" t="s">
        <v>32</v>
      </c>
      <c r="E7" s="105" t="s">
        <v>4</v>
      </c>
      <c r="F7" s="105"/>
      <c r="G7" s="125"/>
      <c r="H7" s="109"/>
    </row>
    <row r="8" spans="1:9" ht="165.75" thickBot="1" x14ac:dyDescent="0.3">
      <c r="A8" s="102"/>
      <c r="B8" s="14" t="s">
        <v>36</v>
      </c>
      <c r="C8" s="30" t="s">
        <v>5</v>
      </c>
      <c r="D8" s="15" t="s">
        <v>33</v>
      </c>
      <c r="E8" s="30" t="s">
        <v>34</v>
      </c>
      <c r="F8" s="7" t="s">
        <v>35</v>
      </c>
      <c r="G8" s="110"/>
      <c r="H8" s="111"/>
    </row>
    <row r="9" spans="1:9" ht="15.75" thickBot="1" x14ac:dyDescent="0.3">
      <c r="A9" s="29">
        <v>1</v>
      </c>
      <c r="B9" s="7">
        <v>2</v>
      </c>
      <c r="C9" s="11">
        <v>3</v>
      </c>
      <c r="D9" s="7">
        <v>4</v>
      </c>
      <c r="E9" s="11">
        <v>5</v>
      </c>
      <c r="F9" s="7">
        <v>6</v>
      </c>
      <c r="G9" s="96" t="s">
        <v>6</v>
      </c>
      <c r="H9" s="97"/>
    </row>
    <row r="10" spans="1:9" ht="60.75" thickBot="1" x14ac:dyDescent="0.3">
      <c r="A10" s="2" t="s">
        <v>7</v>
      </c>
      <c r="B10" s="6">
        <f>B11</f>
        <v>10055.43</v>
      </c>
      <c r="C10" s="12"/>
      <c r="D10" s="6">
        <f>D11</f>
        <v>3003.5699999999997</v>
      </c>
      <c r="E10" s="8" t="s">
        <v>8</v>
      </c>
      <c r="F10" s="8" t="s">
        <v>8</v>
      </c>
      <c r="G10" s="127">
        <f>G11+G12</f>
        <v>14297</v>
      </c>
      <c r="H10" s="91"/>
    </row>
    <row r="11" spans="1:9" ht="15.75" thickBot="1" x14ac:dyDescent="0.3">
      <c r="A11" s="3" t="s">
        <v>9</v>
      </c>
      <c r="B11" s="6">
        <f>G11*77%</f>
        <v>10055.43</v>
      </c>
      <c r="C11" s="12"/>
      <c r="D11" s="31">
        <f t="shared" ref="D11:D16" si="0">G11-B11</f>
        <v>3003.5699999999997</v>
      </c>
      <c r="E11" s="8" t="s">
        <v>8</v>
      </c>
      <c r="F11" s="8" t="s">
        <v>8</v>
      </c>
      <c r="G11" s="90">
        <f>13057+2</f>
        <v>13059</v>
      </c>
      <c r="H11" s="91"/>
    </row>
    <row r="12" spans="1:9" ht="15.75" thickBot="1" x14ac:dyDescent="0.3">
      <c r="A12" s="2" t="s">
        <v>10</v>
      </c>
      <c r="B12" s="6">
        <f>G12*77%</f>
        <v>953.26</v>
      </c>
      <c r="C12" s="12"/>
      <c r="D12" s="31">
        <f t="shared" si="0"/>
        <v>284.74</v>
      </c>
      <c r="E12" s="8" t="s">
        <v>8</v>
      </c>
      <c r="F12" s="8" t="s">
        <v>8</v>
      </c>
      <c r="G12" s="90">
        <v>1238</v>
      </c>
      <c r="H12" s="91"/>
    </row>
    <row r="13" spans="1:9" ht="60.75" thickBot="1" x14ac:dyDescent="0.3">
      <c r="A13" s="2" t="s">
        <v>11</v>
      </c>
      <c r="B13" s="6">
        <f t="shared" ref="B13" si="1">G13*77%</f>
        <v>4345.1099999999997</v>
      </c>
      <c r="C13" s="12"/>
      <c r="D13" s="31">
        <f t="shared" si="0"/>
        <v>1297.8900000000003</v>
      </c>
      <c r="E13" s="8" t="s">
        <v>8</v>
      </c>
      <c r="F13" s="8" t="s">
        <v>8</v>
      </c>
      <c r="G13" s="90">
        <f>5366+277</f>
        <v>5643</v>
      </c>
      <c r="H13" s="91"/>
    </row>
    <row r="14" spans="1:9" ht="30.75" thickBot="1" x14ac:dyDescent="0.3">
      <c r="A14" s="2" t="s">
        <v>12</v>
      </c>
      <c r="B14" s="6">
        <f>G14*77%</f>
        <v>0</v>
      </c>
      <c r="C14" s="12"/>
      <c r="D14" s="31">
        <f t="shared" si="0"/>
        <v>0</v>
      </c>
      <c r="E14" s="8" t="s">
        <v>8</v>
      </c>
      <c r="F14" s="8" t="s">
        <v>8</v>
      </c>
      <c r="G14" s="90">
        <v>0</v>
      </c>
      <c r="H14" s="91"/>
      <c r="I14" s="10">
        <f>G14+G13+G11</f>
        <v>18702</v>
      </c>
    </row>
    <row r="15" spans="1:9" ht="15.75" thickBot="1" x14ac:dyDescent="0.3">
      <c r="A15" s="2" t="s">
        <v>13</v>
      </c>
      <c r="B15" s="6">
        <f>G15*56%</f>
        <v>1069.0400000000002</v>
      </c>
      <c r="C15" s="6"/>
      <c r="D15" s="31">
        <f t="shared" si="0"/>
        <v>839.95999999999981</v>
      </c>
      <c r="E15" s="8" t="s">
        <v>8</v>
      </c>
      <c r="F15" s="8" t="s">
        <v>8</v>
      </c>
      <c r="G15" s="90">
        <v>1909</v>
      </c>
      <c r="H15" s="91"/>
    </row>
    <row r="16" spans="1:9" ht="30.75" thickBot="1" x14ac:dyDescent="0.3">
      <c r="A16" s="2" t="s">
        <v>14</v>
      </c>
      <c r="B16" s="6">
        <f>G16*56%</f>
        <v>1093.1200000000001</v>
      </c>
      <c r="C16" s="6"/>
      <c r="D16" s="31">
        <f t="shared" si="0"/>
        <v>858.87999999999988</v>
      </c>
      <c r="E16" s="8" t="s">
        <v>8</v>
      </c>
      <c r="F16" s="8" t="s">
        <v>8</v>
      </c>
      <c r="G16" s="90">
        <f>117+1835</f>
        <v>1952</v>
      </c>
      <c r="H16" s="91"/>
    </row>
    <row r="17" spans="1:11" ht="45.75" thickBot="1" x14ac:dyDescent="0.3">
      <c r="A17" s="2" t="s">
        <v>15</v>
      </c>
      <c r="B17" s="8" t="s">
        <v>8</v>
      </c>
      <c r="C17" s="8" t="s">
        <v>8</v>
      </c>
      <c r="D17" s="6"/>
      <c r="E17" s="8" t="s">
        <v>8</v>
      </c>
      <c r="F17" s="8" t="s">
        <v>8</v>
      </c>
      <c r="G17" s="90"/>
      <c r="H17" s="91"/>
    </row>
    <row r="18" spans="1:11" ht="15.75" thickBot="1" x14ac:dyDescent="0.3">
      <c r="A18" s="2" t="s">
        <v>16</v>
      </c>
      <c r="B18" s="8" t="s">
        <v>8</v>
      </c>
      <c r="C18" s="8" t="s">
        <v>8</v>
      </c>
      <c r="D18" s="12"/>
      <c r="E18" s="6"/>
      <c r="F18" s="6"/>
      <c r="G18" s="90"/>
      <c r="H18" s="91"/>
    </row>
    <row r="19" spans="1:11" ht="15.75" thickBot="1" x14ac:dyDescent="0.3">
      <c r="A19" s="3" t="s">
        <v>17</v>
      </c>
      <c r="B19" s="6">
        <f>G19*56%</f>
        <v>0</v>
      </c>
      <c r="C19" s="8"/>
      <c r="D19" s="6"/>
      <c r="E19" s="6">
        <f>G19-B19</f>
        <v>0</v>
      </c>
      <c r="F19" s="6"/>
      <c r="G19" s="90">
        <v>0</v>
      </c>
      <c r="H19" s="91"/>
    </row>
    <row r="20" spans="1:11" ht="15.75" thickBot="1" x14ac:dyDescent="0.3">
      <c r="A20" s="3" t="s">
        <v>18</v>
      </c>
      <c r="B20" s="6"/>
      <c r="C20" s="8"/>
      <c r="D20" s="8"/>
      <c r="E20" s="6"/>
      <c r="F20" s="6"/>
      <c r="G20" s="90"/>
      <c r="H20" s="91"/>
    </row>
    <row r="21" spans="1:11" ht="45.75" thickBot="1" x14ac:dyDescent="0.3">
      <c r="A21" s="2" t="s">
        <v>19</v>
      </c>
      <c r="B21" s="6"/>
      <c r="C21" s="8"/>
      <c r="D21" s="6"/>
      <c r="E21" s="6"/>
      <c r="F21" s="6"/>
      <c r="G21" s="94"/>
      <c r="H21" s="95"/>
    </row>
    <row r="22" spans="1:11" ht="30.75" thickBot="1" x14ac:dyDescent="0.3">
      <c r="A22" s="2" t="s">
        <v>20</v>
      </c>
      <c r="B22" s="6"/>
      <c r="C22" s="8"/>
      <c r="D22" s="6"/>
      <c r="E22" s="6">
        <v>3032</v>
      </c>
      <c r="F22" s="6"/>
      <c r="G22" s="90">
        <v>3032</v>
      </c>
      <c r="H22" s="91"/>
    </row>
    <row r="23" spans="1:11" ht="30.75" thickBot="1" x14ac:dyDescent="0.3">
      <c r="A23" s="2" t="s">
        <v>21</v>
      </c>
      <c r="B23" s="6">
        <f>G23*56%</f>
        <v>677.6</v>
      </c>
      <c r="C23" s="6"/>
      <c r="D23" s="31">
        <f>G23-B23</f>
        <v>532.4</v>
      </c>
      <c r="E23" s="8" t="s">
        <v>8</v>
      </c>
      <c r="F23" s="8" t="s">
        <v>8</v>
      </c>
      <c r="G23" s="90">
        <f>1210</f>
        <v>1210</v>
      </c>
      <c r="H23" s="91"/>
    </row>
    <row r="24" spans="1:11" ht="15.75" thickBot="1" x14ac:dyDescent="0.3">
      <c r="A24" s="3" t="s">
        <v>22</v>
      </c>
      <c r="B24" s="6">
        <f>G24*56%</f>
        <v>8690.08</v>
      </c>
      <c r="C24" s="6"/>
      <c r="D24" s="31">
        <f>G24-B24</f>
        <v>6827.92</v>
      </c>
      <c r="E24" s="8" t="s">
        <v>8</v>
      </c>
      <c r="F24" s="8" t="s">
        <v>8</v>
      </c>
      <c r="G24" s="90">
        <f>15453+65</f>
        <v>15518</v>
      </c>
      <c r="H24" s="91"/>
    </row>
    <row r="25" spans="1:11" ht="15.75" thickBot="1" x14ac:dyDescent="0.3">
      <c r="A25" s="3" t="s">
        <v>23</v>
      </c>
      <c r="B25" s="8" t="s">
        <v>8</v>
      </c>
      <c r="C25" s="12"/>
      <c r="D25" s="8" t="s">
        <v>8</v>
      </c>
      <c r="E25" s="8" t="s">
        <v>8</v>
      </c>
      <c r="F25" s="8" t="s">
        <v>8</v>
      </c>
      <c r="G25" s="94"/>
      <c r="H25" s="95"/>
    </row>
    <row r="26" spans="1:11" ht="15.75" thickBot="1" x14ac:dyDescent="0.3">
      <c r="A26" s="3" t="s">
        <v>24</v>
      </c>
      <c r="B26" s="6"/>
      <c r="C26" s="6"/>
      <c r="D26" s="6"/>
      <c r="E26" s="8" t="s">
        <v>8</v>
      </c>
      <c r="F26" s="8" t="s">
        <v>8</v>
      </c>
      <c r="G26" s="90"/>
      <c r="H26" s="91"/>
    </row>
    <row r="27" spans="1:11" ht="15.75" thickBot="1" x14ac:dyDescent="0.3">
      <c r="A27" s="4" t="s">
        <v>25</v>
      </c>
      <c r="B27" s="6">
        <f>SUM(B11:B26)</f>
        <v>26883.64</v>
      </c>
      <c r="C27" s="6"/>
      <c r="D27" s="6">
        <f>SUM(D11:D26)</f>
        <v>13645.36</v>
      </c>
      <c r="E27" s="6">
        <f>SUM(E11:E26)</f>
        <v>3032</v>
      </c>
      <c r="F27" s="6"/>
      <c r="G27" s="90">
        <f>SUM(G11:H26)</f>
        <v>43561</v>
      </c>
      <c r="H27" s="91"/>
    </row>
    <row r="28" spans="1:11" x14ac:dyDescent="0.25">
      <c r="A28" s="92" t="s">
        <v>26</v>
      </c>
      <c r="B28" s="92"/>
      <c r="C28" s="92"/>
      <c r="D28" s="92"/>
      <c r="E28" s="92"/>
      <c r="F28" s="92"/>
      <c r="G28" s="92"/>
      <c r="H28" s="92"/>
    </row>
    <row r="29" spans="1:11" x14ac:dyDescent="0.25">
      <c r="A29" s="93" t="s">
        <v>27</v>
      </c>
      <c r="B29" s="93"/>
      <c r="C29" s="93"/>
      <c r="D29" s="93"/>
      <c r="E29" s="93"/>
      <c r="F29" s="93"/>
      <c r="G29" s="93"/>
      <c r="H29" s="93"/>
    </row>
    <row r="30" spans="1:11" x14ac:dyDescent="0.25">
      <c r="A30" s="93" t="s">
        <v>28</v>
      </c>
      <c r="B30" s="93"/>
      <c r="C30" s="93"/>
      <c r="D30" s="93"/>
      <c r="E30" s="93"/>
      <c r="F30" s="93"/>
      <c r="G30" s="93"/>
      <c r="H30" s="93"/>
      <c r="K30" s="10" t="e">
        <f>G124-G119</f>
        <v>#VALUE!</v>
      </c>
    </row>
    <row r="31" spans="1:11" x14ac:dyDescent="0.25">
      <c r="K31" s="10" t="e">
        <f>K30-244898</f>
        <v>#VALUE!</v>
      </c>
    </row>
    <row r="32" spans="1:11" x14ac:dyDescent="0.25">
      <c r="B32" s="10" t="s">
        <v>121</v>
      </c>
      <c r="C32" s="10">
        <v>0</v>
      </c>
    </row>
    <row r="33" spans="1:8" x14ac:dyDescent="0.25">
      <c r="C33" s="10">
        <f>C32-B27</f>
        <v>-26883.64</v>
      </c>
    </row>
    <row r="38" spans="1:8" x14ac:dyDescent="0.25">
      <c r="A38" s="27"/>
      <c r="B38" s="28"/>
      <c r="C38" s="28"/>
      <c r="D38" s="28"/>
      <c r="E38" s="112" t="s">
        <v>29</v>
      </c>
      <c r="F38" s="112"/>
      <c r="G38" s="112"/>
      <c r="H38" s="112"/>
    </row>
    <row r="39" spans="1:8" x14ac:dyDescent="0.25">
      <c r="A39" s="113"/>
      <c r="B39" s="114"/>
      <c r="C39" s="114"/>
      <c r="D39" s="115"/>
      <c r="E39" s="115" t="s">
        <v>0</v>
      </c>
      <c r="F39" s="115"/>
      <c r="G39" s="115"/>
      <c r="H39" s="115"/>
    </row>
    <row r="40" spans="1:8" x14ac:dyDescent="0.25">
      <c r="A40" s="113"/>
      <c r="B40" s="114"/>
      <c r="C40" s="114"/>
      <c r="D40" s="115"/>
      <c r="E40" s="128" t="s">
        <v>31</v>
      </c>
      <c r="F40" s="115"/>
      <c r="G40" s="115"/>
      <c r="H40" s="115"/>
    </row>
    <row r="41" spans="1:8" ht="15.75" thickBot="1" x14ac:dyDescent="0.3">
      <c r="A41" s="98" t="s">
        <v>122</v>
      </c>
      <c r="B41" s="98"/>
      <c r="C41" s="98"/>
      <c r="D41" s="98"/>
      <c r="E41" s="98"/>
      <c r="F41" s="98"/>
      <c r="G41" s="98"/>
      <c r="H41" s="98"/>
    </row>
    <row r="42" spans="1:8" x14ac:dyDescent="0.25">
      <c r="A42" s="100" t="s">
        <v>2</v>
      </c>
      <c r="B42" s="103" t="s">
        <v>30</v>
      </c>
      <c r="C42" s="104"/>
      <c r="D42" s="104"/>
      <c r="E42" s="104"/>
      <c r="F42" s="104"/>
      <c r="G42" s="105" t="s">
        <v>3</v>
      </c>
      <c r="H42" s="106"/>
    </row>
    <row r="43" spans="1:8" ht="180.75" thickBot="1" x14ac:dyDescent="0.3">
      <c r="A43" s="124"/>
      <c r="B43" s="105" t="s">
        <v>30</v>
      </c>
      <c r="C43" s="105"/>
      <c r="D43" s="15" t="s">
        <v>32</v>
      </c>
      <c r="E43" s="105" t="s">
        <v>4</v>
      </c>
      <c r="F43" s="105"/>
      <c r="G43" s="125"/>
      <c r="H43" s="109"/>
    </row>
    <row r="44" spans="1:8" ht="165.75" thickBot="1" x14ac:dyDescent="0.3">
      <c r="A44" s="102"/>
      <c r="B44" s="14" t="s">
        <v>36</v>
      </c>
      <c r="C44" s="30" t="s">
        <v>5</v>
      </c>
      <c r="D44" s="15" t="s">
        <v>33</v>
      </c>
      <c r="E44" s="30" t="s">
        <v>34</v>
      </c>
      <c r="F44" s="7" t="s">
        <v>35</v>
      </c>
      <c r="G44" s="110"/>
      <c r="H44" s="111"/>
    </row>
    <row r="45" spans="1:8" ht="15.75" thickBot="1" x14ac:dyDescent="0.3">
      <c r="A45" s="29">
        <v>1</v>
      </c>
      <c r="B45" s="7">
        <v>2</v>
      </c>
      <c r="C45" s="11">
        <v>3</v>
      </c>
      <c r="D45" s="7">
        <v>4</v>
      </c>
      <c r="E45" s="11">
        <v>5</v>
      </c>
      <c r="F45" s="7">
        <v>6</v>
      </c>
      <c r="G45" s="96" t="s">
        <v>6</v>
      </c>
      <c r="H45" s="97"/>
    </row>
    <row r="46" spans="1:8" ht="60.75" thickBot="1" x14ac:dyDescent="0.3">
      <c r="A46" s="2" t="s">
        <v>7</v>
      </c>
      <c r="B46" s="6">
        <f>B47</f>
        <v>20567.47</v>
      </c>
      <c r="C46" s="12"/>
      <c r="D46" s="6">
        <f>D47</f>
        <v>6143.5299999999988</v>
      </c>
      <c r="E46" s="8" t="s">
        <v>8</v>
      </c>
      <c r="F46" s="8" t="s">
        <v>8</v>
      </c>
      <c r="G46" s="90">
        <f>G47+G48</f>
        <v>27949</v>
      </c>
      <c r="H46" s="91"/>
    </row>
    <row r="47" spans="1:8" ht="15.75" thickBot="1" x14ac:dyDescent="0.3">
      <c r="A47" s="3" t="s">
        <v>9</v>
      </c>
      <c r="B47" s="6">
        <f>G47*77%</f>
        <v>20567.47</v>
      </c>
      <c r="C47" s="12"/>
      <c r="D47" s="31">
        <f t="shared" ref="D47:D52" si="2">G47-B47</f>
        <v>6143.5299999999988</v>
      </c>
      <c r="E47" s="8" t="s">
        <v>8</v>
      </c>
      <c r="F47" s="8" t="s">
        <v>8</v>
      </c>
      <c r="G47" s="90">
        <f>26797-86</f>
        <v>26711</v>
      </c>
      <c r="H47" s="91"/>
    </row>
    <row r="48" spans="1:8" ht="15.75" thickBot="1" x14ac:dyDescent="0.3">
      <c r="A48" s="2" t="s">
        <v>10</v>
      </c>
      <c r="B48" s="6">
        <f>G48*77%</f>
        <v>953.26</v>
      </c>
      <c r="C48" s="12"/>
      <c r="D48" s="31">
        <f t="shared" si="2"/>
        <v>284.74</v>
      </c>
      <c r="E48" s="8" t="s">
        <v>8</v>
      </c>
      <c r="F48" s="8" t="s">
        <v>8</v>
      </c>
      <c r="G48" s="90">
        <v>1238</v>
      </c>
      <c r="H48" s="91"/>
    </row>
    <row r="49" spans="1:9" ht="60.75" thickBot="1" x14ac:dyDescent="0.3">
      <c r="A49" s="2" t="s">
        <v>11</v>
      </c>
      <c r="B49" s="6">
        <f t="shared" ref="B49" si="3">G49*77%</f>
        <v>8691.76</v>
      </c>
      <c r="C49" s="12"/>
      <c r="D49" s="31">
        <f t="shared" si="2"/>
        <v>2596.2399999999998</v>
      </c>
      <c r="E49" s="8" t="s">
        <v>8</v>
      </c>
      <c r="F49" s="8" t="s">
        <v>8</v>
      </c>
      <c r="G49" s="90">
        <f>11058+277-47</f>
        <v>11288</v>
      </c>
      <c r="H49" s="91"/>
    </row>
    <row r="50" spans="1:9" ht="30.75" thickBot="1" x14ac:dyDescent="0.3">
      <c r="A50" s="2" t="s">
        <v>12</v>
      </c>
      <c r="B50" s="6">
        <f>G50*77%</f>
        <v>102.41</v>
      </c>
      <c r="C50" s="12"/>
      <c r="D50" s="31">
        <f t="shared" si="2"/>
        <v>30.590000000000003</v>
      </c>
      <c r="E50" s="8" t="s">
        <v>8</v>
      </c>
      <c r="F50" s="8" t="s">
        <v>8</v>
      </c>
      <c r="G50" s="90">
        <f>47+86</f>
        <v>133</v>
      </c>
      <c r="H50" s="91"/>
      <c r="I50" s="10">
        <f>G50+G49+G46</f>
        <v>39370</v>
      </c>
    </row>
    <row r="51" spans="1:9" ht="15.75" thickBot="1" x14ac:dyDescent="0.3">
      <c r="A51" s="2" t="s">
        <v>13</v>
      </c>
      <c r="B51" s="6">
        <f>G51*56%</f>
        <v>1959.4400000000003</v>
      </c>
      <c r="C51" s="6"/>
      <c r="D51" s="31">
        <f t="shared" si="2"/>
        <v>1539.5599999999997</v>
      </c>
      <c r="E51" s="8" t="s">
        <v>8</v>
      </c>
      <c r="F51" s="8" t="s">
        <v>8</v>
      </c>
      <c r="G51" s="90">
        <v>3499</v>
      </c>
      <c r="H51" s="91"/>
    </row>
    <row r="52" spans="1:9" ht="30.75" thickBot="1" x14ac:dyDescent="0.3">
      <c r="A52" s="2" t="s">
        <v>14</v>
      </c>
      <c r="B52" s="6">
        <f>G52*56%</f>
        <v>1505.2800000000002</v>
      </c>
      <c r="C52" s="6"/>
      <c r="D52" s="31">
        <f t="shared" si="2"/>
        <v>1182.7199999999998</v>
      </c>
      <c r="E52" s="8" t="s">
        <v>8</v>
      </c>
      <c r="F52" s="8" t="s">
        <v>8</v>
      </c>
      <c r="G52" s="90">
        <f>364+2324</f>
        <v>2688</v>
      </c>
      <c r="H52" s="91"/>
    </row>
    <row r="53" spans="1:9" ht="45.75" thickBot="1" x14ac:dyDescent="0.3">
      <c r="A53" s="2" t="s">
        <v>15</v>
      </c>
      <c r="B53" s="8" t="s">
        <v>8</v>
      </c>
      <c r="C53" s="8" t="s">
        <v>8</v>
      </c>
      <c r="D53" s="6"/>
      <c r="E53" s="8" t="s">
        <v>8</v>
      </c>
      <c r="F53" s="8" t="s">
        <v>8</v>
      </c>
      <c r="G53" s="90"/>
      <c r="H53" s="91"/>
    </row>
    <row r="54" spans="1:9" ht="15.75" thickBot="1" x14ac:dyDescent="0.3">
      <c r="A54" s="2" t="s">
        <v>16</v>
      </c>
      <c r="B54" s="8" t="s">
        <v>8</v>
      </c>
      <c r="C54" s="8" t="s">
        <v>8</v>
      </c>
      <c r="D54" s="12"/>
      <c r="E54" s="6"/>
      <c r="F54" s="6"/>
      <c r="G54" s="90"/>
      <c r="H54" s="91"/>
    </row>
    <row r="55" spans="1:9" ht="15.75" thickBot="1" x14ac:dyDescent="0.3">
      <c r="A55" s="3" t="s">
        <v>17</v>
      </c>
      <c r="B55" s="6">
        <f>G55*56%</f>
        <v>0</v>
      </c>
      <c r="C55" s="8"/>
      <c r="D55" s="6"/>
      <c r="E55" s="6">
        <f>G55-B55</f>
        <v>0</v>
      </c>
      <c r="F55" s="6"/>
      <c r="G55" s="90">
        <v>0</v>
      </c>
      <c r="H55" s="91"/>
    </row>
    <row r="56" spans="1:9" ht="15.75" thickBot="1" x14ac:dyDescent="0.3">
      <c r="A56" s="3" t="s">
        <v>18</v>
      </c>
      <c r="B56" s="6"/>
      <c r="C56" s="8"/>
      <c r="D56" s="8"/>
      <c r="E56" s="6"/>
      <c r="F56" s="6"/>
      <c r="G56" s="90"/>
      <c r="H56" s="91"/>
    </row>
    <row r="57" spans="1:9" ht="45.75" thickBot="1" x14ac:dyDescent="0.3">
      <c r="A57" s="2" t="s">
        <v>19</v>
      </c>
      <c r="B57" s="6"/>
      <c r="C57" s="8"/>
      <c r="D57" s="6"/>
      <c r="E57" s="6"/>
      <c r="F57" s="6"/>
      <c r="G57" s="94"/>
      <c r="H57" s="95"/>
    </row>
    <row r="58" spans="1:9" ht="30.75" thickBot="1" x14ac:dyDescent="0.3">
      <c r="A58" s="2" t="s">
        <v>20</v>
      </c>
      <c r="B58" s="6"/>
      <c r="C58" s="8"/>
      <c r="D58" s="6"/>
      <c r="E58" s="6">
        <v>6065</v>
      </c>
      <c r="F58" s="6"/>
      <c r="G58" s="90">
        <v>6065</v>
      </c>
      <c r="H58" s="91"/>
    </row>
    <row r="59" spans="1:9" ht="30.75" thickBot="1" x14ac:dyDescent="0.3">
      <c r="A59" s="2" t="s">
        <v>21</v>
      </c>
      <c r="B59" s="6">
        <f>G59*56%</f>
        <v>1469.44</v>
      </c>
      <c r="C59" s="6"/>
      <c r="D59" s="31">
        <f>G59-B59</f>
        <v>1154.56</v>
      </c>
      <c r="E59" s="8" t="s">
        <v>8</v>
      </c>
      <c r="F59" s="8" t="s">
        <v>8</v>
      </c>
      <c r="G59" s="90">
        <v>2624</v>
      </c>
      <c r="H59" s="91"/>
    </row>
    <row r="60" spans="1:9" ht="15.75" thickBot="1" x14ac:dyDescent="0.3">
      <c r="A60" s="3" t="s">
        <v>22</v>
      </c>
      <c r="B60" s="6">
        <f>G60*56%</f>
        <v>8710.8000000000011</v>
      </c>
      <c r="C60" s="6"/>
      <c r="D60" s="31">
        <f>G60-B60</f>
        <v>6844.1999999999989</v>
      </c>
      <c r="E60" s="8" t="s">
        <v>8</v>
      </c>
      <c r="F60" s="8" t="s">
        <v>8</v>
      </c>
      <c r="G60" s="90">
        <f>15453+65+37</f>
        <v>15555</v>
      </c>
      <c r="H60" s="91"/>
    </row>
    <row r="61" spans="1:9" ht="15.75" thickBot="1" x14ac:dyDescent="0.3">
      <c r="A61" s="3" t="s">
        <v>23</v>
      </c>
      <c r="B61" s="8" t="s">
        <v>8</v>
      </c>
      <c r="C61" s="12"/>
      <c r="D61" s="8" t="s">
        <v>8</v>
      </c>
      <c r="E61" s="8" t="s">
        <v>8</v>
      </c>
      <c r="F61" s="8" t="s">
        <v>8</v>
      </c>
      <c r="G61" s="94"/>
      <c r="H61" s="95"/>
    </row>
    <row r="62" spans="1:9" ht="15.75" thickBot="1" x14ac:dyDescent="0.3">
      <c r="A62" s="3" t="s">
        <v>24</v>
      </c>
      <c r="B62" s="6"/>
      <c r="C62" s="6"/>
      <c r="D62" s="6"/>
      <c r="E62" s="8" t="s">
        <v>8</v>
      </c>
      <c r="F62" s="8" t="s">
        <v>8</v>
      </c>
      <c r="G62" s="90"/>
      <c r="H62" s="91"/>
    </row>
    <row r="63" spans="1:9" ht="15.75" thickBot="1" x14ac:dyDescent="0.3">
      <c r="A63" s="4" t="s">
        <v>25</v>
      </c>
      <c r="B63" s="6">
        <f>SUM(B47:B62)</f>
        <v>43959.86</v>
      </c>
      <c r="C63" s="6"/>
      <c r="D63" s="6">
        <f>SUM(D47:D62)</f>
        <v>19776.139999999996</v>
      </c>
      <c r="E63" s="6">
        <f>SUM(E47:E62)</f>
        <v>6065</v>
      </c>
      <c r="F63" s="6"/>
      <c r="G63" s="90">
        <f>SUM(G47:H62)</f>
        <v>69801</v>
      </c>
      <c r="H63" s="91"/>
    </row>
    <row r="64" spans="1:9" x14ac:dyDescent="0.25">
      <c r="A64" s="92" t="s">
        <v>26</v>
      </c>
      <c r="B64" s="92"/>
      <c r="C64" s="92"/>
      <c r="D64" s="92"/>
      <c r="E64" s="92"/>
      <c r="F64" s="92"/>
      <c r="G64" s="92"/>
      <c r="H64" s="92"/>
    </row>
    <row r="65" spans="1:11" x14ac:dyDescent="0.25">
      <c r="A65" s="93" t="s">
        <v>27</v>
      </c>
      <c r="B65" s="93"/>
      <c r="C65" s="93"/>
      <c r="D65" s="93"/>
      <c r="E65" s="93"/>
      <c r="F65" s="93"/>
      <c r="G65" s="93"/>
      <c r="H65" s="93"/>
    </row>
    <row r="66" spans="1:11" x14ac:dyDescent="0.25">
      <c r="A66" s="93" t="s">
        <v>28</v>
      </c>
      <c r="B66" s="93"/>
      <c r="C66" s="93"/>
      <c r="D66" s="93"/>
      <c r="E66" s="93"/>
      <c r="F66" s="93"/>
      <c r="G66" s="93"/>
      <c r="H66" s="93"/>
      <c r="K66" s="10">
        <f>G307-G302</f>
        <v>109983</v>
      </c>
    </row>
    <row r="67" spans="1:11" x14ac:dyDescent="0.25">
      <c r="K67" s="10">
        <f>K66-244898</f>
        <v>-134915</v>
      </c>
    </row>
    <row r="68" spans="1:11" x14ac:dyDescent="0.25">
      <c r="B68" s="10" t="s">
        <v>123</v>
      </c>
      <c r="C68" s="10">
        <v>39906</v>
      </c>
    </row>
    <row r="69" spans="1:11" x14ac:dyDescent="0.25">
      <c r="C69" s="10">
        <f>C68-B63</f>
        <v>-4053.8600000000006</v>
      </c>
    </row>
    <row r="76" spans="1:11" x14ac:dyDescent="0.25">
      <c r="A76" s="27"/>
      <c r="B76" s="28"/>
      <c r="C76" s="28"/>
      <c r="D76" s="28"/>
      <c r="E76" s="112" t="s">
        <v>29</v>
      </c>
      <c r="F76" s="112"/>
      <c r="G76" s="112"/>
      <c r="H76" s="112"/>
    </row>
    <row r="77" spans="1:11" x14ac:dyDescent="0.25">
      <c r="A77" s="113"/>
      <c r="B77" s="114"/>
      <c r="C77" s="114"/>
      <c r="D77" s="115"/>
      <c r="E77" s="115" t="s">
        <v>0</v>
      </c>
      <c r="F77" s="115"/>
      <c r="G77" s="115"/>
      <c r="H77" s="115"/>
    </row>
    <row r="78" spans="1:11" x14ac:dyDescent="0.25">
      <c r="A78" s="113"/>
      <c r="B78" s="114"/>
      <c r="C78" s="114"/>
      <c r="D78" s="115"/>
      <c r="E78" s="128" t="s">
        <v>31</v>
      </c>
      <c r="F78" s="115"/>
      <c r="G78" s="115"/>
      <c r="H78" s="115"/>
    </row>
    <row r="79" spans="1:11" ht="15.75" thickBot="1" x14ac:dyDescent="0.3">
      <c r="A79" s="98" t="s">
        <v>124</v>
      </c>
      <c r="B79" s="98"/>
      <c r="C79" s="98"/>
      <c r="D79" s="98"/>
      <c r="E79" s="98"/>
      <c r="F79" s="98"/>
      <c r="G79" s="98"/>
      <c r="H79" s="98"/>
    </row>
    <row r="80" spans="1:11" x14ac:dyDescent="0.25">
      <c r="A80" s="100" t="s">
        <v>2</v>
      </c>
      <c r="B80" s="103" t="s">
        <v>30</v>
      </c>
      <c r="C80" s="104"/>
      <c r="D80" s="104"/>
      <c r="E80" s="104"/>
      <c r="F80" s="104"/>
      <c r="G80" s="105" t="s">
        <v>3</v>
      </c>
      <c r="H80" s="106"/>
    </row>
    <row r="81" spans="1:9" ht="180.75" thickBot="1" x14ac:dyDescent="0.3">
      <c r="A81" s="124"/>
      <c r="B81" s="105" t="s">
        <v>30</v>
      </c>
      <c r="C81" s="105"/>
      <c r="D81" s="15" t="s">
        <v>32</v>
      </c>
      <c r="E81" s="105" t="s">
        <v>4</v>
      </c>
      <c r="F81" s="105"/>
      <c r="G81" s="125"/>
      <c r="H81" s="109"/>
    </row>
    <row r="82" spans="1:9" ht="165.75" thickBot="1" x14ac:dyDescent="0.3">
      <c r="A82" s="102"/>
      <c r="B82" s="14" t="s">
        <v>36</v>
      </c>
      <c r="C82" s="30" t="s">
        <v>5</v>
      </c>
      <c r="D82" s="15" t="s">
        <v>33</v>
      </c>
      <c r="E82" s="30" t="s">
        <v>34</v>
      </c>
      <c r="F82" s="7" t="s">
        <v>35</v>
      </c>
      <c r="G82" s="110"/>
      <c r="H82" s="111"/>
    </row>
    <row r="83" spans="1:9" ht="15.75" thickBot="1" x14ac:dyDescent="0.3">
      <c r="A83" s="29">
        <v>1</v>
      </c>
      <c r="B83" s="7">
        <v>2</v>
      </c>
      <c r="C83" s="11">
        <v>3</v>
      </c>
      <c r="D83" s="7">
        <v>4</v>
      </c>
      <c r="E83" s="11">
        <v>5</v>
      </c>
      <c r="F83" s="7">
        <v>6</v>
      </c>
      <c r="G83" s="96" t="s">
        <v>6</v>
      </c>
      <c r="H83" s="97"/>
    </row>
    <row r="84" spans="1:9" ht="60.75" thickBot="1" x14ac:dyDescent="0.3">
      <c r="A84" s="2" t="s">
        <v>7</v>
      </c>
      <c r="B84" s="6">
        <f>B85</f>
        <v>31737.86</v>
      </c>
      <c r="C84" s="12"/>
      <c r="D84" s="6">
        <f>D85</f>
        <v>9480.14</v>
      </c>
      <c r="E84" s="8" t="s">
        <v>8</v>
      </c>
      <c r="F84" s="8" t="s">
        <v>8</v>
      </c>
      <c r="G84" s="90">
        <f>G85+G86</f>
        <v>42456</v>
      </c>
      <c r="H84" s="91"/>
    </row>
    <row r="85" spans="1:9" ht="15.75" thickBot="1" x14ac:dyDescent="0.3">
      <c r="A85" s="3" t="s">
        <v>9</v>
      </c>
      <c r="B85" s="6">
        <f>G85*77%</f>
        <v>31737.86</v>
      </c>
      <c r="C85" s="12"/>
      <c r="D85" s="31">
        <f t="shared" ref="D85:D90" si="4">G85-B85</f>
        <v>9480.14</v>
      </c>
      <c r="E85" s="8" t="s">
        <v>8</v>
      </c>
      <c r="F85" s="8" t="s">
        <v>8</v>
      </c>
      <c r="G85" s="90">
        <f>41391-173</f>
        <v>41218</v>
      </c>
      <c r="H85" s="91"/>
    </row>
    <row r="86" spans="1:9" ht="15.75" thickBot="1" x14ac:dyDescent="0.3">
      <c r="A86" s="2" t="s">
        <v>10</v>
      </c>
      <c r="B86" s="6">
        <f>G86*77%</f>
        <v>953.26</v>
      </c>
      <c r="C86" s="12"/>
      <c r="D86" s="31">
        <f t="shared" si="4"/>
        <v>284.74</v>
      </c>
      <c r="E86" s="8" t="s">
        <v>8</v>
      </c>
      <c r="F86" s="8" t="s">
        <v>8</v>
      </c>
      <c r="G86" s="90">
        <v>1238</v>
      </c>
      <c r="H86" s="91"/>
    </row>
    <row r="87" spans="1:9" ht="60.75" thickBot="1" x14ac:dyDescent="0.3">
      <c r="A87" s="2" t="s">
        <v>11</v>
      </c>
      <c r="B87" s="6">
        <f t="shared" ref="B87" si="5">G87*77%</f>
        <v>13099.24</v>
      </c>
      <c r="C87" s="12"/>
      <c r="D87" s="31">
        <f t="shared" si="4"/>
        <v>3912.76</v>
      </c>
      <c r="E87" s="8" t="s">
        <v>8</v>
      </c>
      <c r="F87" s="8" t="s">
        <v>8</v>
      </c>
      <c r="G87" s="90">
        <f>-89+16824+277</f>
        <v>17012</v>
      </c>
      <c r="H87" s="91"/>
    </row>
    <row r="88" spans="1:9" ht="30.75" thickBot="1" x14ac:dyDescent="0.3">
      <c r="A88" s="2" t="s">
        <v>12</v>
      </c>
      <c r="B88" s="6">
        <f>G88*77%</f>
        <v>201.74</v>
      </c>
      <c r="C88" s="12"/>
      <c r="D88" s="31">
        <f t="shared" si="4"/>
        <v>60.259999999999991</v>
      </c>
      <c r="E88" s="8" t="s">
        <v>8</v>
      </c>
      <c r="F88" s="8" t="s">
        <v>8</v>
      </c>
      <c r="G88" s="90">
        <f>173+89</f>
        <v>262</v>
      </c>
      <c r="H88" s="91"/>
      <c r="I88" s="10">
        <f>G88+G87+G84</f>
        <v>59730</v>
      </c>
    </row>
    <row r="89" spans="1:9" ht="15.75" thickBot="1" x14ac:dyDescent="0.3">
      <c r="A89" s="2" t="s">
        <v>13</v>
      </c>
      <c r="B89" s="6">
        <f>G89*56%</f>
        <v>2591.1200000000003</v>
      </c>
      <c r="C89" s="6"/>
      <c r="D89" s="31">
        <f t="shared" si="4"/>
        <v>2035.8799999999997</v>
      </c>
      <c r="E89" s="8" t="s">
        <v>8</v>
      </c>
      <c r="F89" s="8" t="s">
        <v>8</v>
      </c>
      <c r="G89" s="90">
        <v>4627</v>
      </c>
      <c r="H89" s="91"/>
    </row>
    <row r="90" spans="1:9" ht="30.75" thickBot="1" x14ac:dyDescent="0.3">
      <c r="A90" s="2" t="s">
        <v>14</v>
      </c>
      <c r="B90" s="6">
        <f>G90*56%</f>
        <v>2402.4</v>
      </c>
      <c r="C90" s="6"/>
      <c r="D90" s="31">
        <f t="shared" si="4"/>
        <v>1887.6</v>
      </c>
      <c r="E90" s="8" t="s">
        <v>8</v>
      </c>
      <c r="F90" s="8" t="s">
        <v>8</v>
      </c>
      <c r="G90" s="90">
        <f>828+3037+425</f>
        <v>4290</v>
      </c>
      <c r="H90" s="91"/>
    </row>
    <row r="91" spans="1:9" ht="45.75" thickBot="1" x14ac:dyDescent="0.3">
      <c r="A91" s="2" t="s">
        <v>15</v>
      </c>
      <c r="B91" s="8" t="s">
        <v>8</v>
      </c>
      <c r="C91" s="8" t="s">
        <v>8</v>
      </c>
      <c r="D91" s="6"/>
      <c r="E91" s="8" t="s">
        <v>8</v>
      </c>
      <c r="F91" s="8" t="s">
        <v>8</v>
      </c>
      <c r="G91" s="90"/>
      <c r="H91" s="91"/>
    </row>
    <row r="92" spans="1:9" ht="15.75" thickBot="1" x14ac:dyDescent="0.3">
      <c r="A92" s="2" t="s">
        <v>16</v>
      </c>
      <c r="B92" s="8" t="s">
        <v>8</v>
      </c>
      <c r="C92" s="8" t="s">
        <v>8</v>
      </c>
      <c r="D92" s="12"/>
      <c r="E92" s="6"/>
      <c r="F92" s="6"/>
      <c r="G92" s="90"/>
      <c r="H92" s="91"/>
    </row>
    <row r="93" spans="1:9" ht="15.75" thickBot="1" x14ac:dyDescent="0.3">
      <c r="A93" s="3" t="s">
        <v>17</v>
      </c>
      <c r="B93" s="6">
        <f>G93*56%</f>
        <v>0</v>
      </c>
      <c r="C93" s="8"/>
      <c r="D93" s="6"/>
      <c r="E93" s="6">
        <f>G93-B93</f>
        <v>0</v>
      </c>
      <c r="F93" s="6"/>
      <c r="G93" s="90">
        <v>0</v>
      </c>
      <c r="H93" s="91"/>
    </row>
    <row r="94" spans="1:9" ht="15.75" thickBot="1" x14ac:dyDescent="0.3">
      <c r="A94" s="3" t="s">
        <v>18</v>
      </c>
      <c r="B94" s="6"/>
      <c r="C94" s="8"/>
      <c r="D94" s="8"/>
      <c r="E94" s="6"/>
      <c r="F94" s="6"/>
      <c r="G94" s="90"/>
      <c r="H94" s="91"/>
    </row>
    <row r="95" spans="1:9" ht="45.75" thickBot="1" x14ac:dyDescent="0.3">
      <c r="A95" s="2" t="s">
        <v>19</v>
      </c>
      <c r="B95" s="6"/>
      <c r="C95" s="8"/>
      <c r="D95" s="6"/>
      <c r="E95" s="6"/>
      <c r="F95" s="6"/>
      <c r="G95" s="94"/>
      <c r="H95" s="95"/>
    </row>
    <row r="96" spans="1:9" ht="30.75" thickBot="1" x14ac:dyDescent="0.3">
      <c r="A96" s="2" t="s">
        <v>20</v>
      </c>
      <c r="B96" s="6"/>
      <c r="C96" s="8"/>
      <c r="D96" s="6"/>
      <c r="E96" s="6">
        <v>9097</v>
      </c>
      <c r="F96" s="6"/>
      <c r="G96" s="90">
        <v>9097</v>
      </c>
      <c r="H96" s="91"/>
    </row>
    <row r="97" spans="1:11" ht="30.75" thickBot="1" x14ac:dyDescent="0.3">
      <c r="A97" s="2" t="s">
        <v>21</v>
      </c>
      <c r="B97" s="6">
        <f>G97*56%</f>
        <v>2556.4</v>
      </c>
      <c r="C97" s="6"/>
      <c r="D97" s="31">
        <f>G97-B97</f>
        <v>2008.6</v>
      </c>
      <c r="E97" s="8" t="s">
        <v>8</v>
      </c>
      <c r="F97" s="8" t="s">
        <v>8</v>
      </c>
      <c r="G97" s="90">
        <f>4565</f>
        <v>4565</v>
      </c>
      <c r="H97" s="91"/>
    </row>
    <row r="98" spans="1:11" ht="15.75" thickBot="1" x14ac:dyDescent="0.3">
      <c r="A98" s="3" t="s">
        <v>22</v>
      </c>
      <c r="B98" s="6">
        <f>G98*56%</f>
        <v>8725.92</v>
      </c>
      <c r="C98" s="6"/>
      <c r="D98" s="31">
        <f>G98-B98</f>
        <v>6856.08</v>
      </c>
      <c r="E98" s="8" t="s">
        <v>8</v>
      </c>
      <c r="F98" s="8" t="s">
        <v>8</v>
      </c>
      <c r="G98" s="90">
        <f>15453+65+64</f>
        <v>15582</v>
      </c>
      <c r="H98" s="91"/>
    </row>
    <row r="99" spans="1:11" ht="15.75" thickBot="1" x14ac:dyDescent="0.3">
      <c r="A99" s="3" t="s">
        <v>23</v>
      </c>
      <c r="B99" s="8" t="s">
        <v>8</v>
      </c>
      <c r="C99" s="12"/>
      <c r="D99" s="8" t="s">
        <v>8</v>
      </c>
      <c r="E99" s="8" t="s">
        <v>8</v>
      </c>
      <c r="F99" s="8" t="s">
        <v>8</v>
      </c>
      <c r="G99" s="94"/>
      <c r="H99" s="95"/>
    </row>
    <row r="100" spans="1:11" ht="15.75" thickBot="1" x14ac:dyDescent="0.3">
      <c r="A100" s="3" t="s">
        <v>24</v>
      </c>
      <c r="B100" s="6"/>
      <c r="C100" s="6"/>
      <c r="D100" s="6"/>
      <c r="E100" s="8" t="s">
        <v>8</v>
      </c>
      <c r="F100" s="8" t="s">
        <v>8</v>
      </c>
      <c r="G100" s="90"/>
      <c r="H100" s="91"/>
    </row>
    <row r="101" spans="1:11" ht="15.75" thickBot="1" x14ac:dyDescent="0.3">
      <c r="A101" s="4" t="s">
        <v>25</v>
      </c>
      <c r="B101" s="6">
        <f>SUM(B85:B100)</f>
        <v>62267.94</v>
      </c>
      <c r="C101" s="6"/>
      <c r="D101" s="6">
        <f>SUM(D85:D100)</f>
        <v>26526.059999999998</v>
      </c>
      <c r="E101" s="6">
        <f>SUM(E85:E100)</f>
        <v>9097</v>
      </c>
      <c r="F101" s="6"/>
      <c r="G101" s="90">
        <f>SUM(G85:H100)</f>
        <v>97891</v>
      </c>
      <c r="H101" s="91"/>
    </row>
    <row r="102" spans="1:11" x14ac:dyDescent="0.25">
      <c r="A102" s="92" t="s">
        <v>26</v>
      </c>
      <c r="B102" s="92"/>
      <c r="C102" s="92"/>
      <c r="D102" s="92"/>
      <c r="E102" s="92"/>
      <c r="F102" s="92"/>
      <c r="G102" s="92"/>
      <c r="H102" s="92"/>
    </row>
    <row r="103" spans="1:11" x14ac:dyDescent="0.25">
      <c r="A103" s="93" t="s">
        <v>27</v>
      </c>
      <c r="B103" s="93"/>
      <c r="C103" s="93"/>
      <c r="D103" s="93"/>
      <c r="E103" s="93"/>
      <c r="F103" s="93"/>
      <c r="G103" s="93"/>
      <c r="H103" s="93"/>
    </row>
    <row r="104" spans="1:11" x14ac:dyDescent="0.25">
      <c r="A104" s="93" t="s">
        <v>28</v>
      </c>
      <c r="B104" s="93"/>
      <c r="C104" s="93"/>
      <c r="D104" s="93"/>
      <c r="E104" s="93"/>
      <c r="F104" s="93"/>
      <c r="G104" s="93"/>
      <c r="H104" s="93"/>
      <c r="K104" s="10" t="e">
        <f>G421-G416</f>
        <v>#VALUE!</v>
      </c>
    </row>
    <row r="105" spans="1:11" x14ac:dyDescent="0.25">
      <c r="K105" s="10" t="e">
        <f>K104-244898</f>
        <v>#VALUE!</v>
      </c>
    </row>
    <row r="106" spans="1:11" x14ac:dyDescent="0.25">
      <c r="B106" s="10" t="s">
        <v>125</v>
      </c>
      <c r="C106" s="10">
        <v>58533</v>
      </c>
    </row>
    <row r="107" spans="1:11" x14ac:dyDescent="0.25">
      <c r="C107" s="10">
        <f>C106-B101</f>
        <v>-3734.9400000000023</v>
      </c>
    </row>
    <row r="120" spans="1:8" x14ac:dyDescent="0.25">
      <c r="A120" s="27"/>
      <c r="B120" s="28"/>
      <c r="C120" s="28"/>
      <c r="D120" s="28"/>
      <c r="E120" s="112" t="s">
        <v>29</v>
      </c>
      <c r="F120" s="112"/>
      <c r="G120" s="112"/>
      <c r="H120" s="112"/>
    </row>
    <row r="121" spans="1:8" x14ac:dyDescent="0.25">
      <c r="A121" s="113"/>
      <c r="B121" s="114"/>
      <c r="C121" s="114"/>
      <c r="D121" s="115"/>
      <c r="E121" s="115" t="s">
        <v>0</v>
      </c>
      <c r="F121" s="115"/>
      <c r="G121" s="115"/>
      <c r="H121" s="115"/>
    </row>
    <row r="122" spans="1:8" x14ac:dyDescent="0.25">
      <c r="A122" s="113"/>
      <c r="B122" s="114"/>
      <c r="C122" s="114"/>
      <c r="D122" s="115"/>
      <c r="E122" s="128" t="s">
        <v>31</v>
      </c>
      <c r="F122" s="115"/>
      <c r="G122" s="115"/>
      <c r="H122" s="115"/>
    </row>
    <row r="123" spans="1:8" ht="15.75" thickBot="1" x14ac:dyDescent="0.3">
      <c r="A123" s="98" t="s">
        <v>126</v>
      </c>
      <c r="B123" s="98"/>
      <c r="C123" s="98"/>
      <c r="D123" s="98"/>
      <c r="E123" s="98"/>
      <c r="F123" s="98"/>
      <c r="G123" s="98"/>
      <c r="H123" s="98"/>
    </row>
    <row r="124" spans="1:8" x14ac:dyDescent="0.25">
      <c r="A124" s="100" t="s">
        <v>2</v>
      </c>
      <c r="B124" s="103" t="s">
        <v>30</v>
      </c>
      <c r="C124" s="104"/>
      <c r="D124" s="104"/>
      <c r="E124" s="104"/>
      <c r="F124" s="104"/>
      <c r="G124" s="105" t="s">
        <v>3</v>
      </c>
      <c r="H124" s="106"/>
    </row>
    <row r="125" spans="1:8" ht="180.75" thickBot="1" x14ac:dyDescent="0.3">
      <c r="A125" s="124"/>
      <c r="B125" s="105" t="s">
        <v>30</v>
      </c>
      <c r="C125" s="105"/>
      <c r="D125" s="15" t="s">
        <v>32</v>
      </c>
      <c r="E125" s="105" t="s">
        <v>4</v>
      </c>
      <c r="F125" s="105"/>
      <c r="G125" s="125"/>
      <c r="H125" s="109"/>
    </row>
    <row r="126" spans="1:8" ht="165.75" thickBot="1" x14ac:dyDescent="0.3">
      <c r="A126" s="102"/>
      <c r="B126" s="14" t="s">
        <v>36</v>
      </c>
      <c r="C126" s="30" t="s">
        <v>5</v>
      </c>
      <c r="D126" s="15" t="s">
        <v>33</v>
      </c>
      <c r="E126" s="30" t="s">
        <v>34</v>
      </c>
      <c r="F126" s="7" t="s">
        <v>35</v>
      </c>
      <c r="G126" s="110"/>
      <c r="H126" s="111"/>
    </row>
    <row r="127" spans="1:8" ht="15.75" thickBot="1" x14ac:dyDescent="0.3">
      <c r="A127" s="29">
        <v>1</v>
      </c>
      <c r="B127" s="7">
        <v>2</v>
      </c>
      <c r="C127" s="11">
        <v>3</v>
      </c>
      <c r="D127" s="7">
        <v>4</v>
      </c>
      <c r="E127" s="11">
        <v>5</v>
      </c>
      <c r="F127" s="7">
        <v>6</v>
      </c>
      <c r="G127" s="96" t="s">
        <v>6</v>
      </c>
      <c r="H127" s="97"/>
    </row>
    <row r="128" spans="1:8" ht="60.75" thickBot="1" x14ac:dyDescent="0.3">
      <c r="A128" s="2" t="s">
        <v>7</v>
      </c>
      <c r="B128" s="6">
        <f>B129</f>
        <v>42011.97</v>
      </c>
      <c r="C128" s="12"/>
      <c r="D128" s="6">
        <f>D129</f>
        <v>12549.029999999999</v>
      </c>
      <c r="E128" s="8" t="s">
        <v>8</v>
      </c>
      <c r="F128" s="8" t="s">
        <v>8</v>
      </c>
      <c r="G128" s="90">
        <f>G129+G130</f>
        <v>55799</v>
      </c>
      <c r="H128" s="91"/>
    </row>
    <row r="129" spans="1:9" ht="15.75" thickBot="1" x14ac:dyDescent="0.3">
      <c r="A129" s="3" t="s">
        <v>9</v>
      </c>
      <c r="B129" s="6">
        <f>G129*77%</f>
        <v>42011.97</v>
      </c>
      <c r="C129" s="12"/>
      <c r="D129" s="31">
        <f t="shared" ref="D129:D134" si="6">G129-B129</f>
        <v>12549.029999999999</v>
      </c>
      <c r="E129" s="8" t="s">
        <v>8</v>
      </c>
      <c r="F129" s="8" t="s">
        <v>8</v>
      </c>
      <c r="G129" s="90">
        <f>54804-243</f>
        <v>54561</v>
      </c>
      <c r="H129" s="91"/>
    </row>
    <row r="130" spans="1:9" ht="15.75" thickBot="1" x14ac:dyDescent="0.3">
      <c r="A130" s="2" t="s">
        <v>10</v>
      </c>
      <c r="B130" s="6">
        <f>G130*77%</f>
        <v>953.26</v>
      </c>
      <c r="C130" s="12"/>
      <c r="D130" s="31">
        <f t="shared" si="6"/>
        <v>284.74</v>
      </c>
      <c r="E130" s="8" t="s">
        <v>8</v>
      </c>
      <c r="F130" s="8" t="s">
        <v>8</v>
      </c>
      <c r="G130" s="90">
        <v>1238</v>
      </c>
      <c r="H130" s="91"/>
    </row>
    <row r="131" spans="1:9" ht="60.75" thickBot="1" x14ac:dyDescent="0.3">
      <c r="A131" s="2" t="s">
        <v>11</v>
      </c>
      <c r="B131" s="6">
        <f t="shared" ref="B131" si="7">G131*77%</f>
        <v>17505.18</v>
      </c>
      <c r="C131" s="12"/>
      <c r="D131" s="31">
        <f t="shared" si="6"/>
        <v>5228.82</v>
      </c>
      <c r="E131" s="8" t="s">
        <v>8</v>
      </c>
      <c r="F131" s="8" t="s">
        <v>8</v>
      </c>
      <c r="G131" s="90">
        <f>22591-134+277</f>
        <v>22734</v>
      </c>
      <c r="H131" s="91"/>
    </row>
    <row r="132" spans="1:9" ht="30.75" thickBot="1" x14ac:dyDescent="0.3">
      <c r="A132" s="2" t="s">
        <v>12</v>
      </c>
      <c r="B132" s="6">
        <f>G132*77%</f>
        <v>290.29000000000002</v>
      </c>
      <c r="C132" s="12"/>
      <c r="D132" s="31">
        <f t="shared" si="6"/>
        <v>86.70999999999998</v>
      </c>
      <c r="E132" s="8" t="s">
        <v>8</v>
      </c>
      <c r="F132" s="8" t="s">
        <v>8</v>
      </c>
      <c r="G132" s="90">
        <f>134+243</f>
        <v>377</v>
      </c>
      <c r="H132" s="91"/>
      <c r="I132" s="10">
        <f>G129+G131+G132</f>
        <v>77672</v>
      </c>
    </row>
    <row r="133" spans="1:9" ht="15.75" thickBot="1" x14ac:dyDescent="0.3">
      <c r="A133" s="2" t="s">
        <v>13</v>
      </c>
      <c r="B133" s="6">
        <f>G133*56%</f>
        <v>2996.5600000000004</v>
      </c>
      <c r="C133" s="6"/>
      <c r="D133" s="31">
        <f t="shared" si="6"/>
        <v>2354.4399999999996</v>
      </c>
      <c r="E133" s="8" t="s">
        <v>8</v>
      </c>
      <c r="F133" s="8" t="s">
        <v>8</v>
      </c>
      <c r="G133" s="90">
        <v>5351</v>
      </c>
      <c r="H133" s="91"/>
    </row>
    <row r="134" spans="1:9" ht="30.75" thickBot="1" x14ac:dyDescent="0.3">
      <c r="A134" s="2" t="s">
        <v>14</v>
      </c>
      <c r="B134" s="6">
        <f>G134*56%</f>
        <v>4551.68</v>
      </c>
      <c r="C134" s="6"/>
      <c r="D134" s="31">
        <f t="shared" si="6"/>
        <v>3576.3199999999997</v>
      </c>
      <c r="E134" s="8" t="s">
        <v>8</v>
      </c>
      <c r="F134" s="8" t="s">
        <v>8</v>
      </c>
      <c r="G134" s="90">
        <f>13479-5351</f>
        <v>8128</v>
      </c>
      <c r="H134" s="91"/>
    </row>
    <row r="135" spans="1:9" ht="45.75" thickBot="1" x14ac:dyDescent="0.3">
      <c r="A135" s="2" t="s">
        <v>15</v>
      </c>
      <c r="B135" s="8" t="s">
        <v>8</v>
      </c>
      <c r="C135" s="8" t="s">
        <v>8</v>
      </c>
      <c r="D135" s="6"/>
      <c r="E135" s="8" t="s">
        <v>8</v>
      </c>
      <c r="F135" s="8" t="s">
        <v>8</v>
      </c>
      <c r="G135" s="90"/>
      <c r="H135" s="91"/>
    </row>
    <row r="136" spans="1:9" ht="15.75" thickBot="1" x14ac:dyDescent="0.3">
      <c r="A136" s="2" t="s">
        <v>16</v>
      </c>
      <c r="B136" s="8" t="s">
        <v>8</v>
      </c>
      <c r="C136" s="8" t="s">
        <v>8</v>
      </c>
      <c r="D136" s="12"/>
      <c r="E136" s="6"/>
      <c r="F136" s="6"/>
      <c r="G136" s="90"/>
      <c r="H136" s="91"/>
    </row>
    <row r="137" spans="1:9" ht="15.75" thickBot="1" x14ac:dyDescent="0.3">
      <c r="A137" s="3" t="s">
        <v>17</v>
      </c>
      <c r="B137" s="6">
        <f>G137*56%</f>
        <v>0</v>
      </c>
      <c r="C137" s="8"/>
      <c r="D137" s="6"/>
      <c r="E137" s="6">
        <f>G137-B137</f>
        <v>0</v>
      </c>
      <c r="F137" s="6"/>
      <c r="G137" s="90">
        <v>0</v>
      </c>
      <c r="H137" s="91"/>
    </row>
    <row r="138" spans="1:9" ht="15.75" thickBot="1" x14ac:dyDescent="0.3">
      <c r="A138" s="3" t="s">
        <v>18</v>
      </c>
      <c r="B138" s="6"/>
      <c r="C138" s="8"/>
      <c r="D138" s="8"/>
      <c r="E138" s="6"/>
      <c r="F138" s="6"/>
      <c r="G138" s="90"/>
      <c r="H138" s="91"/>
    </row>
    <row r="139" spans="1:9" ht="45.75" thickBot="1" x14ac:dyDescent="0.3">
      <c r="A139" s="2" t="s">
        <v>19</v>
      </c>
      <c r="B139" s="6"/>
      <c r="C139" s="8"/>
      <c r="D139" s="6"/>
      <c r="E139" s="6"/>
      <c r="F139" s="6"/>
      <c r="G139" s="94"/>
      <c r="H139" s="95"/>
    </row>
    <row r="140" spans="1:9" ht="34.5" customHeight="1" thickBot="1" x14ac:dyDescent="0.3">
      <c r="A140" s="2" t="s">
        <v>20</v>
      </c>
      <c r="B140" s="6"/>
      <c r="C140" s="8"/>
      <c r="D140" s="6"/>
      <c r="E140" s="6">
        <v>12130</v>
      </c>
      <c r="F140" s="6"/>
      <c r="G140" s="90">
        <v>12130</v>
      </c>
      <c r="H140" s="91"/>
    </row>
    <row r="141" spans="1:9" ht="30.75" thickBot="1" x14ac:dyDescent="0.3">
      <c r="A141" s="2" t="s">
        <v>21</v>
      </c>
      <c r="B141" s="6">
        <f>G141*56%</f>
        <v>3955.8400000000006</v>
      </c>
      <c r="C141" s="6"/>
      <c r="D141" s="31">
        <f>G141-B141</f>
        <v>3108.1599999999994</v>
      </c>
      <c r="E141" s="8" t="s">
        <v>8</v>
      </c>
      <c r="F141" s="8" t="s">
        <v>8</v>
      </c>
      <c r="G141" s="90">
        <v>7064</v>
      </c>
      <c r="H141" s="91"/>
    </row>
    <row r="142" spans="1:9" ht="15.75" thickBot="1" x14ac:dyDescent="0.3">
      <c r="A142" s="3" t="s">
        <v>22</v>
      </c>
      <c r="B142" s="6">
        <f>G142*56%</f>
        <v>8849.68</v>
      </c>
      <c r="C142" s="6"/>
      <c r="D142" s="31">
        <f>G142-B142</f>
        <v>6953.32</v>
      </c>
      <c r="E142" s="8" t="s">
        <v>8</v>
      </c>
      <c r="F142" s="8" t="s">
        <v>8</v>
      </c>
      <c r="G142" s="90">
        <f>15453+65+285</f>
        <v>15803</v>
      </c>
      <c r="H142" s="91"/>
    </row>
    <row r="143" spans="1:9" ht="15.75" thickBot="1" x14ac:dyDescent="0.3">
      <c r="A143" s="3" t="s">
        <v>23</v>
      </c>
      <c r="B143" s="8" t="s">
        <v>8</v>
      </c>
      <c r="C143" s="12"/>
      <c r="D143" s="8" t="s">
        <v>8</v>
      </c>
      <c r="E143" s="8" t="s">
        <v>8</v>
      </c>
      <c r="F143" s="8" t="s">
        <v>8</v>
      </c>
      <c r="G143" s="94"/>
      <c r="H143" s="95"/>
    </row>
    <row r="144" spans="1:9" ht="15.75" thickBot="1" x14ac:dyDescent="0.3">
      <c r="A144" s="3" t="s">
        <v>24</v>
      </c>
      <c r="B144" s="6"/>
      <c r="C144" s="6"/>
      <c r="D144" s="6"/>
      <c r="E144" s="8" t="s">
        <v>8</v>
      </c>
      <c r="F144" s="8" t="s">
        <v>8</v>
      </c>
      <c r="G144" s="90"/>
      <c r="H144" s="91"/>
    </row>
    <row r="145" spans="1:11" ht="15.75" thickBot="1" x14ac:dyDescent="0.3">
      <c r="A145" s="4" t="s">
        <v>25</v>
      </c>
      <c r="B145" s="6">
        <f>SUM(B129:B144)</f>
        <v>81114.459999999992</v>
      </c>
      <c r="C145" s="6"/>
      <c r="D145" s="6">
        <f>SUM(D129:D144)</f>
        <v>34141.539999999994</v>
      </c>
      <c r="E145" s="6">
        <f>SUM(E129:E144)</f>
        <v>12130</v>
      </c>
      <c r="F145" s="6"/>
      <c r="G145" s="90">
        <f>SUM(G129:H144)</f>
        <v>127386</v>
      </c>
      <c r="H145" s="91"/>
    </row>
    <row r="146" spans="1:11" x14ac:dyDescent="0.25">
      <c r="A146" s="92" t="s">
        <v>26</v>
      </c>
      <c r="B146" s="92"/>
      <c r="C146" s="92"/>
      <c r="D146" s="92"/>
      <c r="E146" s="92"/>
      <c r="F146" s="92"/>
      <c r="G146" s="92"/>
      <c r="H146" s="92"/>
    </row>
    <row r="147" spans="1:11" x14ac:dyDescent="0.25">
      <c r="A147" s="93" t="s">
        <v>27</v>
      </c>
      <c r="B147" s="93"/>
      <c r="C147" s="93"/>
      <c r="D147" s="93"/>
      <c r="E147" s="93"/>
      <c r="F147" s="93"/>
      <c r="G147" s="93"/>
      <c r="H147" s="93"/>
    </row>
    <row r="148" spans="1:11" x14ac:dyDescent="0.25">
      <c r="A148" s="93" t="s">
        <v>28</v>
      </c>
      <c r="B148" s="93"/>
      <c r="C148" s="93"/>
      <c r="D148" s="93"/>
      <c r="E148" s="93"/>
      <c r="F148" s="93"/>
      <c r="G148" s="93"/>
      <c r="H148" s="93"/>
      <c r="K148" s="10">
        <f>G324-G319</f>
        <v>219518</v>
      </c>
    </row>
    <row r="149" spans="1:11" x14ac:dyDescent="0.25">
      <c r="B149" s="10" t="s">
        <v>127</v>
      </c>
      <c r="C149" s="10">
        <v>74792</v>
      </c>
      <c r="K149" s="10">
        <f>K148-244898</f>
        <v>-25380</v>
      </c>
    </row>
    <row r="150" spans="1:11" x14ac:dyDescent="0.25">
      <c r="C150" s="10">
        <f>C149-B145</f>
        <v>-6322.4599999999919</v>
      </c>
    </row>
    <row r="155" spans="1:11" x14ac:dyDescent="0.25">
      <c r="A155" s="27"/>
      <c r="B155" s="28"/>
      <c r="C155" s="28"/>
      <c r="D155" s="28"/>
      <c r="E155" s="112" t="s">
        <v>29</v>
      </c>
      <c r="F155" s="112"/>
      <c r="G155" s="112"/>
      <c r="H155" s="112"/>
    </row>
    <row r="156" spans="1:11" x14ac:dyDescent="0.25">
      <c r="A156" s="113"/>
      <c r="B156" s="114"/>
      <c r="C156" s="114"/>
      <c r="D156" s="115"/>
      <c r="E156" s="115" t="s">
        <v>0</v>
      </c>
      <c r="F156" s="115"/>
      <c r="G156" s="115"/>
      <c r="H156" s="115"/>
    </row>
    <row r="157" spans="1:11" x14ac:dyDescent="0.25">
      <c r="A157" s="113"/>
      <c r="B157" s="114"/>
      <c r="C157" s="114"/>
      <c r="D157" s="115"/>
      <c r="E157" s="128" t="s">
        <v>31</v>
      </c>
      <c r="F157" s="115"/>
      <c r="G157" s="115"/>
      <c r="H157" s="115"/>
    </row>
    <row r="158" spans="1:11" ht="15.75" thickBot="1" x14ac:dyDescent="0.3">
      <c r="A158" s="98" t="s">
        <v>128</v>
      </c>
      <c r="B158" s="98"/>
      <c r="C158" s="98"/>
      <c r="D158" s="98"/>
      <c r="E158" s="98"/>
      <c r="F158" s="98"/>
      <c r="G158" s="98"/>
      <c r="H158" s="98"/>
    </row>
    <row r="159" spans="1:11" x14ac:dyDescent="0.25">
      <c r="A159" s="100" t="s">
        <v>2</v>
      </c>
      <c r="B159" s="103" t="s">
        <v>30</v>
      </c>
      <c r="C159" s="104"/>
      <c r="D159" s="104"/>
      <c r="E159" s="104"/>
      <c r="F159" s="104"/>
      <c r="G159" s="105" t="s">
        <v>3</v>
      </c>
      <c r="H159" s="106"/>
    </row>
    <row r="160" spans="1:11" ht="180.75" thickBot="1" x14ac:dyDescent="0.3">
      <c r="A160" s="124"/>
      <c r="B160" s="105" t="s">
        <v>30</v>
      </c>
      <c r="C160" s="105"/>
      <c r="D160" s="15" t="s">
        <v>32</v>
      </c>
      <c r="E160" s="105" t="s">
        <v>4</v>
      </c>
      <c r="F160" s="105"/>
      <c r="G160" s="125"/>
      <c r="H160" s="109"/>
    </row>
    <row r="161" spans="1:9" ht="165.75" thickBot="1" x14ac:dyDescent="0.3">
      <c r="A161" s="102"/>
      <c r="B161" s="14" t="s">
        <v>36</v>
      </c>
      <c r="C161" s="30" t="s">
        <v>5</v>
      </c>
      <c r="D161" s="15" t="s">
        <v>33</v>
      </c>
      <c r="E161" s="30" t="s">
        <v>34</v>
      </c>
      <c r="F161" s="7" t="s">
        <v>35</v>
      </c>
      <c r="G161" s="110"/>
      <c r="H161" s="111"/>
    </row>
    <row r="162" spans="1:9" ht="15.75" thickBot="1" x14ac:dyDescent="0.3">
      <c r="A162" s="29">
        <v>1</v>
      </c>
      <c r="B162" s="7">
        <v>2</v>
      </c>
      <c r="C162" s="11">
        <v>3</v>
      </c>
      <c r="D162" s="7">
        <v>4</v>
      </c>
      <c r="E162" s="11">
        <v>5</v>
      </c>
      <c r="F162" s="7">
        <v>6</v>
      </c>
      <c r="G162" s="96" t="s">
        <v>6</v>
      </c>
      <c r="H162" s="97"/>
    </row>
    <row r="163" spans="1:9" ht="60.75" thickBot="1" x14ac:dyDescent="0.3">
      <c r="A163" s="2" t="s">
        <v>7</v>
      </c>
      <c r="B163" s="6">
        <f>B164</f>
        <v>51424.450000000004</v>
      </c>
      <c r="C163" s="12"/>
      <c r="D163" s="6">
        <f>D164</f>
        <v>15360.549999999996</v>
      </c>
      <c r="E163" s="8" t="s">
        <v>8</v>
      </c>
      <c r="F163" s="8" t="s">
        <v>8</v>
      </c>
      <c r="G163" s="90">
        <f>G164+G165</f>
        <v>68023</v>
      </c>
      <c r="H163" s="91"/>
    </row>
    <row r="164" spans="1:9" ht="15.75" thickBot="1" x14ac:dyDescent="0.3">
      <c r="A164" s="3" t="s">
        <v>9</v>
      </c>
      <c r="B164" s="6">
        <f>G164*77%</f>
        <v>51424.450000000004</v>
      </c>
      <c r="C164" s="12"/>
      <c r="D164" s="31">
        <f t="shared" ref="D164:D169" si="8">G164-B164</f>
        <v>15360.549999999996</v>
      </c>
      <c r="E164" s="8" t="s">
        <v>8</v>
      </c>
      <c r="F164" s="8" t="s">
        <v>8</v>
      </c>
      <c r="G164" s="90">
        <f>67105-320</f>
        <v>66785</v>
      </c>
      <c r="H164" s="91"/>
    </row>
    <row r="165" spans="1:9" ht="15.75" thickBot="1" x14ac:dyDescent="0.3">
      <c r="A165" s="2" t="s">
        <v>10</v>
      </c>
      <c r="B165" s="6">
        <f>G165*77%</f>
        <v>953.26</v>
      </c>
      <c r="C165" s="12"/>
      <c r="D165" s="31">
        <f t="shared" si="8"/>
        <v>284.74</v>
      </c>
      <c r="E165" s="8" t="s">
        <v>8</v>
      </c>
      <c r="F165" s="8" t="s">
        <v>8</v>
      </c>
      <c r="G165" s="90">
        <v>1238</v>
      </c>
      <c r="H165" s="91"/>
    </row>
    <row r="166" spans="1:9" ht="60.75" thickBot="1" x14ac:dyDescent="0.3">
      <c r="A166" s="2" t="s">
        <v>11</v>
      </c>
      <c r="B166" s="6">
        <f t="shared" ref="B166" si="9">G166*77%</f>
        <v>21911.89</v>
      </c>
      <c r="C166" s="12"/>
      <c r="D166" s="31">
        <f t="shared" si="8"/>
        <v>6545.1100000000006</v>
      </c>
      <c r="E166" s="8" t="s">
        <v>8</v>
      </c>
      <c r="F166" s="8" t="s">
        <v>8</v>
      </c>
      <c r="G166" s="90">
        <f>28358-178+277</f>
        <v>28457</v>
      </c>
      <c r="H166" s="91"/>
    </row>
    <row r="167" spans="1:9" ht="30.75" thickBot="1" x14ac:dyDescent="0.3">
      <c r="A167" s="2" t="s">
        <v>12</v>
      </c>
      <c r="B167" s="6">
        <f>G167*77%</f>
        <v>383.46000000000004</v>
      </c>
      <c r="C167" s="12"/>
      <c r="D167" s="31">
        <f t="shared" si="8"/>
        <v>114.53999999999996</v>
      </c>
      <c r="E167" s="8" t="s">
        <v>8</v>
      </c>
      <c r="F167" s="8" t="s">
        <v>8</v>
      </c>
      <c r="G167" s="90">
        <f>178+320</f>
        <v>498</v>
      </c>
      <c r="H167" s="91"/>
      <c r="I167" s="10">
        <f>G163+G166+G167</f>
        <v>96978</v>
      </c>
    </row>
    <row r="168" spans="1:9" ht="15.75" thickBot="1" x14ac:dyDescent="0.3">
      <c r="A168" s="2" t="s">
        <v>13</v>
      </c>
      <c r="B168" s="6">
        <f>G168*56%</f>
        <v>3151.6800000000003</v>
      </c>
      <c r="C168" s="6"/>
      <c r="D168" s="31">
        <f t="shared" si="8"/>
        <v>2476.3199999999997</v>
      </c>
      <c r="E168" s="8" t="s">
        <v>8</v>
      </c>
      <c r="F168" s="8" t="s">
        <v>8</v>
      </c>
      <c r="G168" s="90">
        <v>5628</v>
      </c>
      <c r="H168" s="91"/>
    </row>
    <row r="169" spans="1:9" ht="30.75" thickBot="1" x14ac:dyDescent="0.3">
      <c r="A169" s="2" t="s">
        <v>14</v>
      </c>
      <c r="B169" s="6">
        <f>G169*56%</f>
        <v>5336.2400000000007</v>
      </c>
      <c r="C169" s="6"/>
      <c r="D169" s="31">
        <f t="shared" si="8"/>
        <v>4192.7599999999993</v>
      </c>
      <c r="E169" s="8" t="s">
        <v>8</v>
      </c>
      <c r="F169" s="8" t="s">
        <v>8</v>
      </c>
      <c r="G169" s="90">
        <f>15157-5628</f>
        <v>9529</v>
      </c>
      <c r="H169" s="91"/>
    </row>
    <row r="170" spans="1:9" ht="45.75" thickBot="1" x14ac:dyDescent="0.3">
      <c r="A170" s="2" t="s">
        <v>15</v>
      </c>
      <c r="B170" s="8" t="s">
        <v>8</v>
      </c>
      <c r="C170" s="8" t="s">
        <v>8</v>
      </c>
      <c r="D170" s="6"/>
      <c r="E170" s="8" t="s">
        <v>8</v>
      </c>
      <c r="F170" s="8" t="s">
        <v>8</v>
      </c>
      <c r="G170" s="90"/>
      <c r="H170" s="91"/>
    </row>
    <row r="171" spans="1:9" ht="15.75" thickBot="1" x14ac:dyDescent="0.3">
      <c r="A171" s="2" t="s">
        <v>16</v>
      </c>
      <c r="B171" s="8" t="s">
        <v>8</v>
      </c>
      <c r="C171" s="8" t="s">
        <v>8</v>
      </c>
      <c r="D171" s="12"/>
      <c r="E171" s="6"/>
      <c r="F171" s="6"/>
      <c r="G171" s="90"/>
      <c r="H171" s="91"/>
    </row>
    <row r="172" spans="1:9" ht="15.75" thickBot="1" x14ac:dyDescent="0.3">
      <c r="A172" s="3" t="s">
        <v>17</v>
      </c>
      <c r="B172" s="6">
        <f>G172*56%</f>
        <v>0</v>
      </c>
      <c r="C172" s="8"/>
      <c r="D172" s="6"/>
      <c r="E172" s="6">
        <f>G172-B172</f>
        <v>0</v>
      </c>
      <c r="F172" s="6"/>
      <c r="G172" s="90">
        <v>0</v>
      </c>
      <c r="H172" s="91"/>
    </row>
    <row r="173" spans="1:9" ht="15.75" thickBot="1" x14ac:dyDescent="0.3">
      <c r="A173" s="3" t="s">
        <v>18</v>
      </c>
      <c r="B173" s="6"/>
      <c r="C173" s="8"/>
      <c r="D173" s="8"/>
      <c r="E173" s="6"/>
      <c r="F173" s="6"/>
      <c r="G173" s="90"/>
      <c r="H173" s="91"/>
    </row>
    <row r="174" spans="1:9" ht="45.75" thickBot="1" x14ac:dyDescent="0.3">
      <c r="A174" s="2" t="s">
        <v>19</v>
      </c>
      <c r="B174" s="6"/>
      <c r="C174" s="8"/>
      <c r="D174" s="6"/>
      <c r="E174" s="6"/>
      <c r="F174" s="6"/>
      <c r="G174" s="94"/>
      <c r="H174" s="95"/>
    </row>
    <row r="175" spans="1:9" ht="30.75" thickBot="1" x14ac:dyDescent="0.3">
      <c r="A175" s="2" t="s">
        <v>20</v>
      </c>
      <c r="B175" s="6"/>
      <c r="C175" s="8"/>
      <c r="D175" s="6"/>
      <c r="E175" s="6">
        <v>15162</v>
      </c>
      <c r="F175" s="6"/>
      <c r="G175" s="90">
        <v>15162</v>
      </c>
      <c r="H175" s="91"/>
    </row>
    <row r="176" spans="1:9" ht="30.75" thickBot="1" x14ac:dyDescent="0.3">
      <c r="A176" s="2" t="s">
        <v>21</v>
      </c>
      <c r="B176" s="6">
        <f>G176*56%</f>
        <v>5038.88</v>
      </c>
      <c r="C176" s="6"/>
      <c r="D176" s="31">
        <f>G176-B176</f>
        <v>3959.12</v>
      </c>
      <c r="E176" s="8" t="s">
        <v>8</v>
      </c>
      <c r="F176" s="8" t="s">
        <v>8</v>
      </c>
      <c r="G176" s="90">
        <v>8998</v>
      </c>
      <c r="H176" s="91"/>
    </row>
    <row r="177" spans="1:11" ht="15.75" thickBot="1" x14ac:dyDescent="0.3">
      <c r="A177" s="3" t="s">
        <v>22</v>
      </c>
      <c r="B177" s="6">
        <f>G177*56%</f>
        <v>8875.44</v>
      </c>
      <c r="C177" s="6"/>
      <c r="D177" s="31">
        <f>G177-B177</f>
        <v>6973.5599999999995</v>
      </c>
      <c r="E177" s="8" t="s">
        <v>8</v>
      </c>
      <c r="F177" s="8" t="s">
        <v>8</v>
      </c>
      <c r="G177" s="90">
        <f>15453+65+331</f>
        <v>15849</v>
      </c>
      <c r="H177" s="91"/>
    </row>
    <row r="178" spans="1:11" ht="15.75" thickBot="1" x14ac:dyDescent="0.3">
      <c r="A178" s="3" t="s">
        <v>23</v>
      </c>
      <c r="B178" s="8" t="s">
        <v>8</v>
      </c>
      <c r="C178" s="12"/>
      <c r="D178" s="8" t="s">
        <v>8</v>
      </c>
      <c r="E178" s="8" t="s">
        <v>8</v>
      </c>
      <c r="F178" s="8" t="s">
        <v>8</v>
      </c>
      <c r="G178" s="94"/>
      <c r="H178" s="95"/>
    </row>
    <row r="179" spans="1:11" ht="15.75" thickBot="1" x14ac:dyDescent="0.3">
      <c r="A179" s="3" t="s">
        <v>24</v>
      </c>
      <c r="B179" s="6"/>
      <c r="C179" s="6"/>
      <c r="D179" s="6"/>
      <c r="E179" s="8" t="s">
        <v>8</v>
      </c>
      <c r="F179" s="8" t="s">
        <v>8</v>
      </c>
      <c r="G179" s="90"/>
      <c r="H179" s="91"/>
    </row>
    <row r="180" spans="1:11" ht="15.75" thickBot="1" x14ac:dyDescent="0.3">
      <c r="A180" s="4" t="s">
        <v>25</v>
      </c>
      <c r="B180" s="6">
        <f>SUM(B164:B179)</f>
        <v>97075.300000000032</v>
      </c>
      <c r="C180" s="6"/>
      <c r="D180" s="6">
        <f>SUM(D164:D179)</f>
        <v>39906.69999999999</v>
      </c>
      <c r="E180" s="6">
        <f>SUM(E164:E179)</f>
        <v>15162</v>
      </c>
      <c r="F180" s="6"/>
      <c r="G180" s="90">
        <f>SUM(G164:H179)</f>
        <v>152144</v>
      </c>
      <c r="H180" s="91"/>
    </row>
    <row r="181" spans="1:11" x14ac:dyDescent="0.25">
      <c r="A181" s="92" t="s">
        <v>26</v>
      </c>
      <c r="B181" s="92"/>
      <c r="C181" s="92"/>
      <c r="D181" s="92"/>
      <c r="E181" s="92"/>
      <c r="F181" s="92"/>
      <c r="G181" s="92"/>
      <c r="H181" s="92"/>
    </row>
    <row r="182" spans="1:11" x14ac:dyDescent="0.25">
      <c r="A182" s="93" t="s">
        <v>27</v>
      </c>
      <c r="B182" s="93"/>
      <c r="C182" s="93"/>
      <c r="D182" s="93"/>
      <c r="E182" s="93"/>
      <c r="F182" s="93"/>
      <c r="G182" s="93"/>
      <c r="H182" s="93"/>
    </row>
    <row r="183" spans="1:11" x14ac:dyDescent="0.25">
      <c r="A183" s="93" t="s">
        <v>28</v>
      </c>
      <c r="B183" s="93"/>
      <c r="C183" s="93"/>
      <c r="D183" s="93"/>
      <c r="E183" s="93"/>
      <c r="F183" s="93"/>
      <c r="G183" s="93"/>
      <c r="H183" s="93"/>
      <c r="K183" s="10">
        <f>G435-G430</f>
        <v>0</v>
      </c>
    </row>
    <row r="184" spans="1:11" x14ac:dyDescent="0.25">
      <c r="B184" s="10" t="s">
        <v>129</v>
      </c>
      <c r="C184" s="10">
        <v>91051</v>
      </c>
      <c r="K184" s="10">
        <f>K183-244898</f>
        <v>-244898</v>
      </c>
    </row>
    <row r="185" spans="1:11" x14ac:dyDescent="0.25">
      <c r="C185" s="10">
        <f>C184-B180</f>
        <v>-6024.300000000032</v>
      </c>
    </row>
    <row r="189" spans="1:11" x14ac:dyDescent="0.25">
      <c r="A189" s="27"/>
      <c r="B189" s="28"/>
      <c r="C189" s="28"/>
      <c r="D189" s="28"/>
      <c r="E189" s="112" t="s">
        <v>29</v>
      </c>
      <c r="F189" s="112"/>
      <c r="G189" s="112"/>
      <c r="H189" s="112"/>
    </row>
    <row r="190" spans="1:11" x14ac:dyDescent="0.25">
      <c r="A190" s="113"/>
      <c r="B190" s="114"/>
      <c r="C190" s="114"/>
      <c r="D190" s="115"/>
      <c r="E190" s="115" t="s">
        <v>0</v>
      </c>
      <c r="F190" s="115"/>
      <c r="G190" s="115"/>
      <c r="H190" s="115"/>
    </row>
    <row r="191" spans="1:11" x14ac:dyDescent="0.25">
      <c r="A191" s="113"/>
      <c r="B191" s="114"/>
      <c r="C191" s="114"/>
      <c r="D191" s="115"/>
      <c r="E191" s="128" t="s">
        <v>31</v>
      </c>
      <c r="F191" s="115"/>
      <c r="G191" s="115"/>
      <c r="H191" s="115"/>
    </row>
    <row r="192" spans="1:11" ht="15.75" thickBot="1" x14ac:dyDescent="0.3">
      <c r="A192" s="98" t="s">
        <v>130</v>
      </c>
      <c r="B192" s="98"/>
      <c r="C192" s="98"/>
      <c r="D192" s="98"/>
      <c r="E192" s="98"/>
      <c r="F192" s="98"/>
      <c r="G192" s="98"/>
      <c r="H192" s="98"/>
    </row>
    <row r="193" spans="1:9" x14ac:dyDescent="0.25">
      <c r="A193" s="100" t="s">
        <v>2</v>
      </c>
      <c r="B193" s="103" t="s">
        <v>30</v>
      </c>
      <c r="C193" s="104"/>
      <c r="D193" s="104"/>
      <c r="E193" s="104"/>
      <c r="F193" s="104"/>
      <c r="G193" s="105" t="s">
        <v>3</v>
      </c>
      <c r="H193" s="106"/>
    </row>
    <row r="194" spans="1:9" ht="180.75" thickBot="1" x14ac:dyDescent="0.3">
      <c r="A194" s="124"/>
      <c r="B194" s="105" t="s">
        <v>30</v>
      </c>
      <c r="C194" s="105"/>
      <c r="D194" s="15" t="s">
        <v>32</v>
      </c>
      <c r="E194" s="105" t="s">
        <v>4</v>
      </c>
      <c r="F194" s="105"/>
      <c r="G194" s="125"/>
      <c r="H194" s="109"/>
    </row>
    <row r="195" spans="1:9" ht="165.75" thickBot="1" x14ac:dyDescent="0.3">
      <c r="A195" s="102"/>
      <c r="B195" s="14" t="s">
        <v>36</v>
      </c>
      <c r="C195" s="30" t="s">
        <v>5</v>
      </c>
      <c r="D195" s="15" t="s">
        <v>33</v>
      </c>
      <c r="E195" s="30" t="s">
        <v>34</v>
      </c>
      <c r="F195" s="7" t="s">
        <v>35</v>
      </c>
      <c r="G195" s="110"/>
      <c r="H195" s="111"/>
    </row>
    <row r="196" spans="1:9" ht="15.75" thickBot="1" x14ac:dyDescent="0.3">
      <c r="A196" s="29">
        <v>1</v>
      </c>
      <c r="B196" s="7">
        <v>2</v>
      </c>
      <c r="C196" s="11">
        <v>3</v>
      </c>
      <c r="D196" s="7">
        <v>4</v>
      </c>
      <c r="E196" s="11">
        <v>5</v>
      </c>
      <c r="F196" s="7">
        <v>6</v>
      </c>
      <c r="G196" s="96" t="s">
        <v>6</v>
      </c>
      <c r="H196" s="97"/>
    </row>
    <row r="197" spans="1:9" ht="60.75" thickBot="1" x14ac:dyDescent="0.3">
      <c r="A197" s="2" t="s">
        <v>7</v>
      </c>
      <c r="B197" s="6">
        <f>B198</f>
        <v>61983.46</v>
      </c>
      <c r="C197" s="12"/>
      <c r="D197" s="6">
        <f>D198</f>
        <v>18514.54</v>
      </c>
      <c r="E197" s="8" t="s">
        <v>8</v>
      </c>
      <c r="F197" s="8" t="s">
        <v>8</v>
      </c>
      <c r="G197" s="90">
        <f>G198+G199</f>
        <v>81736</v>
      </c>
      <c r="H197" s="91"/>
    </row>
    <row r="198" spans="1:9" ht="15.75" thickBot="1" x14ac:dyDescent="0.3">
      <c r="A198" s="3" t="s">
        <v>9</v>
      </c>
      <c r="B198" s="6">
        <f>G198*77%</f>
        <v>61983.46</v>
      </c>
      <c r="C198" s="12"/>
      <c r="D198" s="31">
        <f t="shared" ref="D198:D203" si="10">G198-B198</f>
        <v>18514.54</v>
      </c>
      <c r="E198" s="8" t="s">
        <v>8</v>
      </c>
      <c r="F198" s="8" t="s">
        <v>8</v>
      </c>
      <c r="G198" s="90">
        <f>83125-408-2214-5</f>
        <v>80498</v>
      </c>
      <c r="H198" s="91"/>
    </row>
    <row r="199" spans="1:9" ht="15.75" thickBot="1" x14ac:dyDescent="0.3">
      <c r="A199" s="2" t="s">
        <v>10</v>
      </c>
      <c r="B199" s="6">
        <f>G199*77%</f>
        <v>953.26</v>
      </c>
      <c r="C199" s="12"/>
      <c r="D199" s="31">
        <f t="shared" si="10"/>
        <v>284.74</v>
      </c>
      <c r="E199" s="8" t="s">
        <v>8</v>
      </c>
      <c r="F199" s="8" t="s">
        <v>8</v>
      </c>
      <c r="G199" s="90">
        <v>1238</v>
      </c>
      <c r="H199" s="91"/>
    </row>
    <row r="200" spans="1:9" ht="60.75" thickBot="1" x14ac:dyDescent="0.3">
      <c r="A200" s="2" t="s">
        <v>11</v>
      </c>
      <c r="B200" s="6">
        <f t="shared" ref="B200" si="11">G200*77%</f>
        <v>26331.690000000002</v>
      </c>
      <c r="C200" s="12"/>
      <c r="D200" s="31">
        <f t="shared" si="10"/>
        <v>7865.3099999999977</v>
      </c>
      <c r="E200" s="8" t="s">
        <v>8</v>
      </c>
      <c r="F200" s="8" t="s">
        <v>8</v>
      </c>
      <c r="G200" s="90">
        <f>34143+277-223</f>
        <v>34197</v>
      </c>
      <c r="H200" s="91"/>
    </row>
    <row r="201" spans="1:9" ht="30.75" thickBot="1" x14ac:dyDescent="0.3">
      <c r="A201" s="2" t="s">
        <v>12</v>
      </c>
      <c r="B201" s="6">
        <f>G201*77%</f>
        <v>2190.65</v>
      </c>
      <c r="C201" s="12"/>
      <c r="D201" s="31">
        <f t="shared" si="10"/>
        <v>654.34999999999991</v>
      </c>
      <c r="E201" s="8" t="s">
        <v>8</v>
      </c>
      <c r="F201" s="8" t="s">
        <v>8</v>
      </c>
      <c r="G201" s="90">
        <f>223+408+2214</f>
        <v>2845</v>
      </c>
      <c r="H201" s="91"/>
      <c r="I201" s="10">
        <f>G197+G200+G201</f>
        <v>118778</v>
      </c>
    </row>
    <row r="202" spans="1:9" ht="15.75" thickBot="1" x14ac:dyDescent="0.3">
      <c r="A202" s="2" t="s">
        <v>13</v>
      </c>
      <c r="B202" s="6">
        <f>G202*56%</f>
        <v>3484.32</v>
      </c>
      <c r="C202" s="6"/>
      <c r="D202" s="31">
        <f t="shared" si="10"/>
        <v>2737.68</v>
      </c>
      <c r="E202" s="8" t="s">
        <v>8</v>
      </c>
      <c r="F202" s="8" t="s">
        <v>8</v>
      </c>
      <c r="G202" s="90">
        <v>6222</v>
      </c>
      <c r="H202" s="91"/>
    </row>
    <row r="203" spans="1:9" ht="30.75" thickBot="1" x14ac:dyDescent="0.3">
      <c r="A203" s="2" t="s">
        <v>14</v>
      </c>
      <c r="B203" s="6">
        <f>G203*56%</f>
        <v>6278.72</v>
      </c>
      <c r="C203" s="6"/>
      <c r="D203" s="31">
        <f t="shared" si="10"/>
        <v>4933.28</v>
      </c>
      <c r="E203" s="8" t="s">
        <v>8</v>
      </c>
      <c r="F203" s="8" t="s">
        <v>8</v>
      </c>
      <c r="G203" s="90">
        <f>17434-6222</f>
        <v>11212</v>
      </c>
      <c r="H203" s="91"/>
    </row>
    <row r="204" spans="1:9" ht="45.75" thickBot="1" x14ac:dyDescent="0.3">
      <c r="A204" s="2" t="s">
        <v>15</v>
      </c>
      <c r="B204" s="8" t="s">
        <v>8</v>
      </c>
      <c r="C204" s="8" t="s">
        <v>8</v>
      </c>
      <c r="D204" s="6"/>
      <c r="E204" s="8" t="s">
        <v>8</v>
      </c>
      <c r="F204" s="8" t="s">
        <v>8</v>
      </c>
      <c r="G204" s="90"/>
      <c r="H204" s="91"/>
    </row>
    <row r="205" spans="1:9" ht="15.75" thickBot="1" x14ac:dyDescent="0.3">
      <c r="A205" s="2" t="s">
        <v>16</v>
      </c>
      <c r="B205" s="8" t="s">
        <v>8</v>
      </c>
      <c r="C205" s="8" t="s">
        <v>8</v>
      </c>
      <c r="D205" s="12"/>
      <c r="E205" s="6"/>
      <c r="F205" s="6"/>
      <c r="G205" s="90"/>
      <c r="H205" s="91"/>
    </row>
    <row r="206" spans="1:9" ht="15.75" thickBot="1" x14ac:dyDescent="0.3">
      <c r="A206" s="3" t="s">
        <v>17</v>
      </c>
      <c r="B206" s="6">
        <f>G206*56%</f>
        <v>0</v>
      </c>
      <c r="C206" s="8"/>
      <c r="D206" s="6"/>
      <c r="E206" s="6">
        <f>G206-B206</f>
        <v>0</v>
      </c>
      <c r="F206" s="6"/>
      <c r="G206" s="90">
        <v>0</v>
      </c>
      <c r="H206" s="91"/>
    </row>
    <row r="207" spans="1:9" ht="15.75" thickBot="1" x14ac:dyDescent="0.3">
      <c r="A207" s="3" t="s">
        <v>18</v>
      </c>
      <c r="B207" s="6"/>
      <c r="C207" s="8"/>
      <c r="D207" s="8"/>
      <c r="E207" s="6"/>
      <c r="F207" s="6"/>
      <c r="G207" s="90"/>
      <c r="H207" s="91"/>
    </row>
    <row r="208" spans="1:9" ht="45.75" thickBot="1" x14ac:dyDescent="0.3">
      <c r="A208" s="2" t="s">
        <v>19</v>
      </c>
      <c r="B208" s="6"/>
      <c r="C208" s="8"/>
      <c r="D208" s="6"/>
      <c r="E208" s="6"/>
      <c r="F208" s="6"/>
      <c r="G208" s="94"/>
      <c r="H208" s="95"/>
    </row>
    <row r="209" spans="1:11" ht="30.75" thickBot="1" x14ac:dyDescent="0.3">
      <c r="A209" s="2" t="s">
        <v>20</v>
      </c>
      <c r="B209" s="6"/>
      <c r="C209" s="8"/>
      <c r="D209" s="6"/>
      <c r="E209" s="6">
        <v>18194</v>
      </c>
      <c r="F209" s="6"/>
      <c r="G209" s="90">
        <v>18194</v>
      </c>
      <c r="H209" s="91"/>
    </row>
    <row r="210" spans="1:11" ht="30.75" thickBot="1" x14ac:dyDescent="0.3">
      <c r="A210" s="2" t="s">
        <v>21</v>
      </c>
      <c r="B210" s="6">
        <f>G210*56%</f>
        <v>7254.8000000000011</v>
      </c>
      <c r="C210" s="6"/>
      <c r="D210" s="31">
        <f>G210-B210</f>
        <v>5700.1999999999989</v>
      </c>
      <c r="E210" s="8" t="s">
        <v>8</v>
      </c>
      <c r="F210" s="8" t="s">
        <v>8</v>
      </c>
      <c r="G210" s="90">
        <f>12372+477+106</f>
        <v>12955</v>
      </c>
      <c r="H210" s="91"/>
    </row>
    <row r="211" spans="1:11" ht="15.75" thickBot="1" x14ac:dyDescent="0.3">
      <c r="A211" s="3" t="s">
        <v>22</v>
      </c>
      <c r="B211" s="6">
        <f>G211*56%</f>
        <v>9258.4800000000014</v>
      </c>
      <c r="C211" s="6"/>
      <c r="D211" s="31">
        <f>G211-B211</f>
        <v>7274.5199999999986</v>
      </c>
      <c r="E211" s="8" t="s">
        <v>8</v>
      </c>
      <c r="F211" s="8" t="s">
        <v>8</v>
      </c>
      <c r="G211" s="90">
        <f>15453+65+1015</f>
        <v>16533</v>
      </c>
      <c r="H211" s="91"/>
    </row>
    <row r="212" spans="1:11" ht="15.75" thickBot="1" x14ac:dyDescent="0.3">
      <c r="A212" s="3" t="s">
        <v>23</v>
      </c>
      <c r="B212" s="8" t="s">
        <v>8</v>
      </c>
      <c r="C212" s="12"/>
      <c r="D212" s="8" t="s">
        <v>8</v>
      </c>
      <c r="E212" s="8" t="s">
        <v>8</v>
      </c>
      <c r="F212" s="8" t="s">
        <v>8</v>
      </c>
      <c r="G212" s="94"/>
      <c r="H212" s="95"/>
    </row>
    <row r="213" spans="1:11" ht="15.75" thickBot="1" x14ac:dyDescent="0.3">
      <c r="A213" s="3" t="s">
        <v>24</v>
      </c>
      <c r="B213" s="6"/>
      <c r="C213" s="6"/>
      <c r="D213" s="6"/>
      <c r="E213" s="8" t="s">
        <v>8</v>
      </c>
      <c r="F213" s="8" t="s">
        <v>8</v>
      </c>
      <c r="G213" s="90"/>
      <c r="H213" s="91"/>
    </row>
    <row r="214" spans="1:11" ht="15.75" thickBot="1" x14ac:dyDescent="0.3">
      <c r="A214" s="4" t="s">
        <v>25</v>
      </c>
      <c r="B214" s="6">
        <f>SUM(B198:B213)</f>
        <v>117735.38</v>
      </c>
      <c r="C214" s="6"/>
      <c r="D214" s="6">
        <f>SUM(D198:D213)</f>
        <v>47964.619999999995</v>
      </c>
      <c r="E214" s="6">
        <f>SUM(E198:E213)</f>
        <v>18194</v>
      </c>
      <c r="F214" s="6"/>
      <c r="G214" s="90">
        <f>SUM(G198:H213)</f>
        <v>183894</v>
      </c>
      <c r="H214" s="91"/>
    </row>
    <row r="215" spans="1:11" x14ac:dyDescent="0.25">
      <c r="A215" s="92" t="s">
        <v>26</v>
      </c>
      <c r="B215" s="92"/>
      <c r="C215" s="92"/>
      <c r="D215" s="92"/>
      <c r="E215" s="92"/>
      <c r="F215" s="92"/>
      <c r="G215" s="92"/>
      <c r="H215" s="92"/>
    </row>
    <row r="216" spans="1:11" x14ac:dyDescent="0.25">
      <c r="A216" s="93" t="s">
        <v>27</v>
      </c>
      <c r="B216" s="93"/>
      <c r="C216" s="93"/>
      <c r="D216" s="93"/>
      <c r="E216" s="93"/>
      <c r="F216" s="93"/>
      <c r="G216" s="93"/>
      <c r="H216" s="93"/>
    </row>
    <row r="217" spans="1:11" x14ac:dyDescent="0.25">
      <c r="A217" s="93" t="s">
        <v>28</v>
      </c>
      <c r="B217" s="93"/>
      <c r="C217" s="93"/>
      <c r="D217" s="93"/>
      <c r="E217" s="93"/>
      <c r="F217" s="93"/>
      <c r="G217" s="93"/>
      <c r="H217" s="93"/>
      <c r="K217" s="10" t="e">
        <f>#REF!-#REF!</f>
        <v>#REF!</v>
      </c>
    </row>
    <row r="218" spans="1:11" x14ac:dyDescent="0.25">
      <c r="B218" s="10" t="s">
        <v>131</v>
      </c>
      <c r="C218" s="10">
        <v>107311</v>
      </c>
      <c r="K218" s="10" t="e">
        <f>K217-244898</f>
        <v>#REF!</v>
      </c>
    </row>
    <row r="219" spans="1:11" x14ac:dyDescent="0.25">
      <c r="C219" s="10">
        <f>C218-B214</f>
        <v>-10424.380000000005</v>
      </c>
    </row>
    <row r="223" spans="1:11" x14ac:dyDescent="0.25">
      <c r="A223" s="27"/>
      <c r="B223" s="28"/>
      <c r="C223" s="28"/>
      <c r="D223" s="28"/>
      <c r="E223" s="112" t="s">
        <v>29</v>
      </c>
      <c r="F223" s="112"/>
      <c r="G223" s="112"/>
      <c r="H223" s="112"/>
    </row>
    <row r="224" spans="1:11" x14ac:dyDescent="0.25">
      <c r="A224" s="113"/>
      <c r="B224" s="114"/>
      <c r="C224" s="114"/>
      <c r="D224" s="115"/>
      <c r="E224" s="115" t="s">
        <v>0</v>
      </c>
      <c r="F224" s="115"/>
      <c r="G224" s="115"/>
      <c r="H224" s="115"/>
    </row>
    <row r="225" spans="1:9" x14ac:dyDescent="0.25">
      <c r="A225" s="113"/>
      <c r="B225" s="114"/>
      <c r="C225" s="114"/>
      <c r="D225" s="115"/>
      <c r="E225" s="128" t="s">
        <v>31</v>
      </c>
      <c r="F225" s="115"/>
      <c r="G225" s="115"/>
      <c r="H225" s="115"/>
    </row>
    <row r="226" spans="1:9" ht="15.75" thickBot="1" x14ac:dyDescent="0.3">
      <c r="A226" s="98" t="s">
        <v>132</v>
      </c>
      <c r="B226" s="98"/>
      <c r="C226" s="98"/>
      <c r="D226" s="98"/>
      <c r="E226" s="98"/>
      <c r="F226" s="98"/>
      <c r="G226" s="98"/>
      <c r="H226" s="98"/>
    </row>
    <row r="227" spans="1:9" x14ac:dyDescent="0.25">
      <c r="A227" s="100" t="s">
        <v>2</v>
      </c>
      <c r="B227" s="103" t="s">
        <v>30</v>
      </c>
      <c r="C227" s="104"/>
      <c r="D227" s="104"/>
      <c r="E227" s="104"/>
      <c r="F227" s="104"/>
      <c r="G227" s="105" t="s">
        <v>3</v>
      </c>
      <c r="H227" s="106"/>
    </row>
    <row r="228" spans="1:9" ht="180.75" thickBot="1" x14ac:dyDescent="0.3">
      <c r="A228" s="124"/>
      <c r="B228" s="105" t="s">
        <v>30</v>
      </c>
      <c r="C228" s="105"/>
      <c r="D228" s="15" t="s">
        <v>32</v>
      </c>
      <c r="E228" s="105" t="s">
        <v>4</v>
      </c>
      <c r="F228" s="105"/>
      <c r="G228" s="125"/>
      <c r="H228" s="109"/>
    </row>
    <row r="229" spans="1:9" ht="165.75" thickBot="1" x14ac:dyDescent="0.3">
      <c r="A229" s="102"/>
      <c r="B229" s="14" t="s">
        <v>36</v>
      </c>
      <c r="C229" s="30" t="s">
        <v>5</v>
      </c>
      <c r="D229" s="15" t="s">
        <v>33</v>
      </c>
      <c r="E229" s="30" t="s">
        <v>34</v>
      </c>
      <c r="F229" s="7" t="s">
        <v>35</v>
      </c>
      <c r="G229" s="110"/>
      <c r="H229" s="111"/>
    </row>
    <row r="230" spans="1:9" ht="15.75" thickBot="1" x14ac:dyDescent="0.3">
      <c r="A230" s="29">
        <v>1</v>
      </c>
      <c r="B230" s="7">
        <v>2</v>
      </c>
      <c r="C230" s="11">
        <v>3</v>
      </c>
      <c r="D230" s="7">
        <v>4</v>
      </c>
      <c r="E230" s="11">
        <v>5</v>
      </c>
      <c r="F230" s="7">
        <v>6</v>
      </c>
      <c r="G230" s="96" t="s">
        <v>6</v>
      </c>
      <c r="H230" s="97"/>
    </row>
    <row r="231" spans="1:9" ht="60.75" thickBot="1" x14ac:dyDescent="0.3">
      <c r="A231" s="2" t="s">
        <v>7</v>
      </c>
      <c r="B231" s="6">
        <f>B232</f>
        <v>68295.150000000009</v>
      </c>
      <c r="C231" s="12"/>
      <c r="D231" s="6">
        <f>D232</f>
        <v>20399.849999999991</v>
      </c>
      <c r="E231" s="8" t="s">
        <v>8</v>
      </c>
      <c r="F231" s="8" t="s">
        <v>8</v>
      </c>
      <c r="G231" s="127">
        <f>G232+G233</f>
        <v>89933</v>
      </c>
      <c r="H231" s="91"/>
    </row>
    <row r="232" spans="1:9" ht="15.75" thickBot="1" x14ac:dyDescent="0.3">
      <c r="A232" s="3" t="s">
        <v>9</v>
      </c>
      <c r="B232" s="6">
        <f>G232*77%</f>
        <v>68295.150000000009</v>
      </c>
      <c r="C232" s="12"/>
      <c r="D232" s="31">
        <f t="shared" ref="D232:D237" si="12">G232-B232</f>
        <v>20399.849999999991</v>
      </c>
      <c r="E232" s="8" t="s">
        <v>8</v>
      </c>
      <c r="F232" s="8" t="s">
        <v>8</v>
      </c>
      <c r="G232" s="90">
        <f>91353-439-2214-5</f>
        <v>88695</v>
      </c>
      <c r="H232" s="91"/>
    </row>
    <row r="233" spans="1:9" ht="15.75" thickBot="1" x14ac:dyDescent="0.3">
      <c r="A233" s="2" t="s">
        <v>10</v>
      </c>
      <c r="B233" s="6">
        <f>G233*77%</f>
        <v>953.26</v>
      </c>
      <c r="C233" s="12"/>
      <c r="D233" s="31">
        <f t="shared" si="12"/>
        <v>284.74</v>
      </c>
      <c r="E233" s="8" t="s">
        <v>8</v>
      </c>
      <c r="F233" s="8" t="s">
        <v>8</v>
      </c>
      <c r="G233" s="90">
        <v>1238</v>
      </c>
      <c r="H233" s="91"/>
    </row>
    <row r="234" spans="1:9" ht="60.75" thickBot="1" x14ac:dyDescent="0.3">
      <c r="A234" s="2" t="s">
        <v>11</v>
      </c>
      <c r="B234" s="6">
        <f t="shared" ref="B234" si="13">G234*77%</f>
        <v>30408.84</v>
      </c>
      <c r="C234" s="12"/>
      <c r="D234" s="31">
        <f t="shared" si="12"/>
        <v>9083.16</v>
      </c>
      <c r="E234" s="8" t="s">
        <v>8</v>
      </c>
      <c r="F234" s="8" t="s">
        <v>8</v>
      </c>
      <c r="G234" s="90">
        <f>39448-233+277</f>
        <v>39492</v>
      </c>
      <c r="H234" s="91"/>
    </row>
    <row r="235" spans="1:9" ht="30.75" thickBot="1" x14ac:dyDescent="0.3">
      <c r="A235" s="2" t="s">
        <v>12</v>
      </c>
      <c r="B235" s="6">
        <f>G235*77%</f>
        <v>2222.2200000000003</v>
      </c>
      <c r="C235" s="12"/>
      <c r="D235" s="31">
        <f t="shared" si="12"/>
        <v>663.77999999999975</v>
      </c>
      <c r="E235" s="8" t="s">
        <v>8</v>
      </c>
      <c r="F235" s="8" t="s">
        <v>8</v>
      </c>
      <c r="G235" s="90">
        <f>439+233+2214</f>
        <v>2886</v>
      </c>
      <c r="H235" s="91"/>
      <c r="I235" s="10">
        <f>G231+G234+G235</f>
        <v>132311</v>
      </c>
    </row>
    <row r="236" spans="1:9" ht="15.75" thickBot="1" x14ac:dyDescent="0.3">
      <c r="A236" s="2" t="s">
        <v>13</v>
      </c>
      <c r="B236" s="6">
        <f>G236*56%</f>
        <v>3894.8</v>
      </c>
      <c r="C236" s="6"/>
      <c r="D236" s="31">
        <f t="shared" si="12"/>
        <v>3060.2</v>
      </c>
      <c r="E236" s="8" t="s">
        <v>8</v>
      </c>
      <c r="F236" s="8" t="s">
        <v>8</v>
      </c>
      <c r="G236" s="90">
        <v>6955</v>
      </c>
      <c r="H236" s="91"/>
    </row>
    <row r="237" spans="1:9" ht="30.75" thickBot="1" x14ac:dyDescent="0.3">
      <c r="A237" s="2" t="s">
        <v>14</v>
      </c>
      <c r="B237" s="6">
        <f>G237*56%</f>
        <v>6331.3600000000006</v>
      </c>
      <c r="C237" s="6"/>
      <c r="D237" s="31">
        <f t="shared" si="12"/>
        <v>4974.6399999999994</v>
      </c>
      <c r="E237" s="8" t="s">
        <v>8</v>
      </c>
      <c r="F237" s="8" t="s">
        <v>8</v>
      </c>
      <c r="G237" s="90">
        <f>18261-6955</f>
        <v>11306</v>
      </c>
      <c r="H237" s="91"/>
    </row>
    <row r="238" spans="1:9" ht="45.75" thickBot="1" x14ac:dyDescent="0.3">
      <c r="A238" s="2" t="s">
        <v>15</v>
      </c>
      <c r="B238" s="8" t="s">
        <v>8</v>
      </c>
      <c r="C238" s="8" t="s">
        <v>8</v>
      </c>
      <c r="D238" s="6"/>
      <c r="E238" s="8" t="s">
        <v>8</v>
      </c>
      <c r="F238" s="8" t="s">
        <v>8</v>
      </c>
      <c r="G238" s="90"/>
      <c r="H238" s="91"/>
    </row>
    <row r="239" spans="1:9" ht="15.75" thickBot="1" x14ac:dyDescent="0.3">
      <c r="A239" s="2" t="s">
        <v>16</v>
      </c>
      <c r="B239" s="8" t="s">
        <v>8</v>
      </c>
      <c r="C239" s="8" t="s">
        <v>8</v>
      </c>
      <c r="D239" s="12"/>
      <c r="E239" s="6"/>
      <c r="F239" s="6"/>
      <c r="G239" s="90"/>
      <c r="H239" s="91"/>
    </row>
    <row r="240" spans="1:9" ht="15.75" thickBot="1" x14ac:dyDescent="0.3">
      <c r="A240" s="3" t="s">
        <v>17</v>
      </c>
      <c r="B240" s="6">
        <f>G240*56%</f>
        <v>0</v>
      </c>
      <c r="C240" s="8"/>
      <c r="D240" s="6"/>
      <c r="E240" s="6">
        <f>G240-B240</f>
        <v>0</v>
      </c>
      <c r="F240" s="6"/>
      <c r="G240" s="90">
        <v>0</v>
      </c>
      <c r="H240" s="91"/>
    </row>
    <row r="241" spans="1:11" ht="15.75" thickBot="1" x14ac:dyDescent="0.3">
      <c r="A241" s="3" t="s">
        <v>18</v>
      </c>
      <c r="B241" s="6"/>
      <c r="C241" s="8"/>
      <c r="D241" s="8"/>
      <c r="E241" s="6"/>
      <c r="F241" s="6"/>
      <c r="G241" s="90"/>
      <c r="H241" s="91"/>
    </row>
    <row r="242" spans="1:11" ht="45.75" thickBot="1" x14ac:dyDescent="0.3">
      <c r="A242" s="2" t="s">
        <v>19</v>
      </c>
      <c r="B242" s="6"/>
      <c r="C242" s="8"/>
      <c r="D242" s="6"/>
      <c r="E242" s="6"/>
      <c r="F242" s="6"/>
      <c r="G242" s="94"/>
      <c r="H242" s="95"/>
    </row>
    <row r="243" spans="1:11" ht="30.75" thickBot="1" x14ac:dyDescent="0.3">
      <c r="A243" s="2" t="s">
        <v>20</v>
      </c>
      <c r="B243" s="6"/>
      <c r="C243" s="8"/>
      <c r="D243" s="6"/>
      <c r="E243" s="6">
        <v>21227</v>
      </c>
      <c r="F243" s="6"/>
      <c r="G243" s="90">
        <v>21227</v>
      </c>
      <c r="H243" s="91"/>
    </row>
    <row r="244" spans="1:11" ht="30.75" thickBot="1" x14ac:dyDescent="0.3">
      <c r="A244" s="2" t="s">
        <v>21</v>
      </c>
      <c r="B244" s="6">
        <f>G244*56%</f>
        <v>7628.3200000000006</v>
      </c>
      <c r="C244" s="6"/>
      <c r="D244" s="31">
        <f>G244-B244</f>
        <v>5993.6799999999994</v>
      </c>
      <c r="E244" s="8" t="s">
        <v>8</v>
      </c>
      <c r="F244" s="8" t="s">
        <v>8</v>
      </c>
      <c r="G244" s="90">
        <f>13017+128+477</f>
        <v>13622</v>
      </c>
      <c r="H244" s="91"/>
    </row>
    <row r="245" spans="1:11" ht="15.75" thickBot="1" x14ac:dyDescent="0.3">
      <c r="A245" s="3" t="s">
        <v>22</v>
      </c>
      <c r="B245" s="6">
        <f>G245*56%</f>
        <v>9285.36</v>
      </c>
      <c r="C245" s="6"/>
      <c r="D245" s="31">
        <f>G245-B245</f>
        <v>7295.6399999999994</v>
      </c>
      <c r="E245" s="8" t="s">
        <v>8</v>
      </c>
      <c r="F245" s="8" t="s">
        <v>8</v>
      </c>
      <c r="G245" s="90">
        <f>15452+65+1064</f>
        <v>16581</v>
      </c>
      <c r="H245" s="91"/>
    </row>
    <row r="246" spans="1:11" ht="15.75" thickBot="1" x14ac:dyDescent="0.3">
      <c r="A246" s="3" t="s">
        <v>23</v>
      </c>
      <c r="B246" s="8" t="s">
        <v>8</v>
      </c>
      <c r="C246" s="12"/>
      <c r="D246" s="8" t="s">
        <v>8</v>
      </c>
      <c r="E246" s="8" t="s">
        <v>8</v>
      </c>
      <c r="F246" s="8" t="s">
        <v>8</v>
      </c>
      <c r="G246" s="94"/>
      <c r="H246" s="95"/>
    </row>
    <row r="247" spans="1:11" ht="15.75" thickBot="1" x14ac:dyDescent="0.3">
      <c r="A247" s="3" t="s">
        <v>24</v>
      </c>
      <c r="B247" s="6"/>
      <c r="C247" s="6"/>
      <c r="D247" s="6"/>
      <c r="E247" s="8" t="s">
        <v>8</v>
      </c>
      <c r="F247" s="8" t="s">
        <v>8</v>
      </c>
      <c r="G247" s="90"/>
      <c r="H247" s="91"/>
    </row>
    <row r="248" spans="1:11" ht="15.75" thickBot="1" x14ac:dyDescent="0.3">
      <c r="A248" s="4" t="s">
        <v>25</v>
      </c>
      <c r="B248" s="6">
        <f>SUM(B232:B247)</f>
        <v>129019.31000000001</v>
      </c>
      <c r="C248" s="6"/>
      <c r="D248" s="6">
        <f>SUM(D232:D247)</f>
        <v>51755.689999999988</v>
      </c>
      <c r="E248" s="6">
        <f>SUM(E232:E247)</f>
        <v>21227</v>
      </c>
      <c r="F248" s="6"/>
      <c r="G248" s="90">
        <f>SUM(G232:H247)</f>
        <v>202002</v>
      </c>
      <c r="H248" s="91"/>
    </row>
    <row r="249" spans="1:11" x14ac:dyDescent="0.25">
      <c r="A249" s="92" t="s">
        <v>26</v>
      </c>
      <c r="B249" s="92"/>
      <c r="C249" s="92"/>
      <c r="D249" s="92"/>
      <c r="E249" s="92"/>
      <c r="F249" s="92"/>
      <c r="G249" s="92"/>
      <c r="H249" s="92"/>
    </row>
    <row r="250" spans="1:11" x14ac:dyDescent="0.25">
      <c r="A250" s="93" t="s">
        <v>27</v>
      </c>
      <c r="B250" s="93"/>
      <c r="C250" s="93"/>
      <c r="D250" s="93"/>
      <c r="E250" s="93"/>
      <c r="F250" s="93"/>
      <c r="G250" s="93"/>
      <c r="H250" s="93"/>
    </row>
    <row r="251" spans="1:11" x14ac:dyDescent="0.25">
      <c r="A251" s="93" t="s">
        <v>28</v>
      </c>
      <c r="B251" s="93"/>
      <c r="C251" s="93"/>
      <c r="D251" s="93"/>
      <c r="E251" s="93"/>
      <c r="F251" s="93"/>
      <c r="G251" s="93"/>
      <c r="H251" s="93"/>
      <c r="K251" s="10" t="e">
        <f>#REF!-#REF!</f>
        <v>#REF!</v>
      </c>
    </row>
    <row r="252" spans="1:11" x14ac:dyDescent="0.25">
      <c r="B252" s="10" t="s">
        <v>133</v>
      </c>
      <c r="C252" s="10">
        <v>120319</v>
      </c>
      <c r="K252" s="10" t="e">
        <f>K251-244898</f>
        <v>#REF!</v>
      </c>
    </row>
    <row r="253" spans="1:11" x14ac:dyDescent="0.25">
      <c r="C253" s="10">
        <f>C252-B248</f>
        <v>-8700.3100000000122</v>
      </c>
    </row>
    <row r="257" spans="1:9" x14ac:dyDescent="0.25">
      <c r="A257" s="27"/>
      <c r="B257" s="28"/>
      <c r="C257" s="28"/>
      <c r="D257" s="28"/>
      <c r="E257" s="112" t="s">
        <v>29</v>
      </c>
      <c r="F257" s="112"/>
      <c r="G257" s="112"/>
      <c r="H257" s="112"/>
    </row>
    <row r="258" spans="1:9" x14ac:dyDescent="0.25">
      <c r="A258" s="113"/>
      <c r="B258" s="114"/>
      <c r="C258" s="114"/>
      <c r="D258" s="115"/>
      <c r="E258" s="115" t="s">
        <v>0</v>
      </c>
      <c r="F258" s="115"/>
      <c r="G258" s="115"/>
      <c r="H258" s="115"/>
    </row>
    <row r="259" spans="1:9" x14ac:dyDescent="0.25">
      <c r="A259" s="113"/>
      <c r="B259" s="114"/>
      <c r="C259" s="114"/>
      <c r="D259" s="115"/>
      <c r="E259" s="128" t="s">
        <v>31</v>
      </c>
      <c r="F259" s="115"/>
      <c r="G259" s="115"/>
      <c r="H259" s="115"/>
    </row>
    <row r="260" spans="1:9" ht="15.75" thickBot="1" x14ac:dyDescent="0.3">
      <c r="A260" s="98" t="s">
        <v>134</v>
      </c>
      <c r="B260" s="98"/>
      <c r="C260" s="98"/>
      <c r="D260" s="98"/>
      <c r="E260" s="98"/>
      <c r="F260" s="98"/>
      <c r="G260" s="98"/>
      <c r="H260" s="98"/>
    </row>
    <row r="261" spans="1:9" x14ac:dyDescent="0.25">
      <c r="A261" s="100" t="s">
        <v>2</v>
      </c>
      <c r="B261" s="103" t="s">
        <v>30</v>
      </c>
      <c r="C261" s="104"/>
      <c r="D261" s="104"/>
      <c r="E261" s="104"/>
      <c r="F261" s="104"/>
      <c r="G261" s="105" t="s">
        <v>3</v>
      </c>
      <c r="H261" s="106"/>
    </row>
    <row r="262" spans="1:9" ht="180.75" thickBot="1" x14ac:dyDescent="0.3">
      <c r="A262" s="124"/>
      <c r="B262" s="105" t="s">
        <v>30</v>
      </c>
      <c r="C262" s="105"/>
      <c r="D262" s="15" t="s">
        <v>32</v>
      </c>
      <c r="E262" s="105" t="s">
        <v>4</v>
      </c>
      <c r="F262" s="105"/>
      <c r="G262" s="125"/>
      <c r="H262" s="109"/>
    </row>
    <row r="263" spans="1:9" ht="165.75" thickBot="1" x14ac:dyDescent="0.3">
      <c r="A263" s="102"/>
      <c r="B263" s="14" t="s">
        <v>36</v>
      </c>
      <c r="C263" s="30" t="s">
        <v>5</v>
      </c>
      <c r="D263" s="15" t="s">
        <v>33</v>
      </c>
      <c r="E263" s="30" t="s">
        <v>34</v>
      </c>
      <c r="F263" s="7" t="s">
        <v>35</v>
      </c>
      <c r="G263" s="110"/>
      <c r="H263" s="111"/>
    </row>
    <row r="264" spans="1:9" ht="15.75" thickBot="1" x14ac:dyDescent="0.3">
      <c r="A264" s="29">
        <v>1</v>
      </c>
      <c r="B264" s="7">
        <v>2</v>
      </c>
      <c r="C264" s="11">
        <v>3</v>
      </c>
      <c r="D264" s="7">
        <v>4</v>
      </c>
      <c r="E264" s="11">
        <v>5</v>
      </c>
      <c r="F264" s="7">
        <v>6</v>
      </c>
      <c r="G264" s="96" t="s">
        <v>6</v>
      </c>
      <c r="H264" s="97"/>
    </row>
    <row r="265" spans="1:9" ht="60.75" thickBot="1" x14ac:dyDescent="0.3">
      <c r="A265" s="2" t="s">
        <v>7</v>
      </c>
      <c r="B265" s="6">
        <f>B266</f>
        <v>74800.11</v>
      </c>
      <c r="C265" s="12"/>
      <c r="D265" s="6">
        <f>D266</f>
        <v>22342.89</v>
      </c>
      <c r="E265" s="8" t="s">
        <v>8</v>
      </c>
      <c r="F265" s="8" t="s">
        <v>8</v>
      </c>
      <c r="G265" s="90">
        <f>G266+G267</f>
        <v>98381</v>
      </c>
      <c r="H265" s="91"/>
    </row>
    <row r="266" spans="1:9" ht="15.75" thickBot="1" x14ac:dyDescent="0.3">
      <c r="A266" s="3" t="s">
        <v>9</v>
      </c>
      <c r="B266" s="6">
        <f>G266*77%</f>
        <v>74800.11</v>
      </c>
      <c r="C266" s="12"/>
      <c r="D266" s="31">
        <f t="shared" ref="D266:D271" si="14">G266-B266</f>
        <v>22342.89</v>
      </c>
      <c r="E266" s="8" t="s">
        <v>8</v>
      </c>
      <c r="F266" s="8" t="s">
        <v>8</v>
      </c>
      <c r="G266" s="90">
        <f>-452-2214+99739+70</f>
        <v>97143</v>
      </c>
      <c r="H266" s="91"/>
    </row>
    <row r="267" spans="1:9" ht="15.75" thickBot="1" x14ac:dyDescent="0.3">
      <c r="A267" s="2" t="s">
        <v>10</v>
      </c>
      <c r="B267" s="6">
        <f>G267*77%</f>
        <v>953.26</v>
      </c>
      <c r="C267" s="12"/>
      <c r="D267" s="31">
        <f t="shared" si="14"/>
        <v>284.74</v>
      </c>
      <c r="E267" s="8" t="s">
        <v>8</v>
      </c>
      <c r="F267" s="8" t="s">
        <v>8</v>
      </c>
      <c r="G267" s="90">
        <v>1238</v>
      </c>
      <c r="H267" s="91"/>
    </row>
    <row r="268" spans="1:9" ht="60.75" thickBot="1" x14ac:dyDescent="0.3">
      <c r="A268" s="2" t="s">
        <v>11</v>
      </c>
      <c r="B268" s="6">
        <f t="shared" ref="B268" si="15">G268*77%</f>
        <v>33906.950000000004</v>
      </c>
      <c r="C268" s="12"/>
      <c r="D268" s="31">
        <f t="shared" si="14"/>
        <v>10128.049999999996</v>
      </c>
      <c r="E268" s="8" t="s">
        <v>8</v>
      </c>
      <c r="F268" s="8" t="s">
        <v>8</v>
      </c>
      <c r="G268" s="90">
        <f>44008-250+277</f>
        <v>44035</v>
      </c>
      <c r="H268" s="91"/>
    </row>
    <row r="269" spans="1:9" ht="30.75" thickBot="1" x14ac:dyDescent="0.3">
      <c r="A269" s="2" t="s">
        <v>12</v>
      </c>
      <c r="B269" s="6">
        <f>G269*77%</f>
        <v>2245.3200000000002</v>
      </c>
      <c r="C269" s="12"/>
      <c r="D269" s="31">
        <f t="shared" si="14"/>
        <v>670.67999999999984</v>
      </c>
      <c r="E269" s="8" t="s">
        <v>8</v>
      </c>
      <c r="F269" s="8" t="s">
        <v>8</v>
      </c>
      <c r="G269" s="90">
        <f>250+452+2214</f>
        <v>2916</v>
      </c>
      <c r="H269" s="91"/>
      <c r="I269" s="10">
        <f>G265+G268+G269</f>
        <v>145332</v>
      </c>
    </row>
    <row r="270" spans="1:9" ht="15.75" thickBot="1" x14ac:dyDescent="0.3">
      <c r="A270" s="2" t="s">
        <v>13</v>
      </c>
      <c r="B270" s="6">
        <f>G270*56%</f>
        <v>3894.8</v>
      </c>
      <c r="C270" s="6"/>
      <c r="D270" s="31">
        <f t="shared" si="14"/>
        <v>3060.2</v>
      </c>
      <c r="E270" s="8" t="s">
        <v>8</v>
      </c>
      <c r="F270" s="8" t="s">
        <v>8</v>
      </c>
      <c r="G270" s="90">
        <v>6955</v>
      </c>
      <c r="H270" s="91"/>
    </row>
    <row r="271" spans="1:9" ht="30.75" thickBot="1" x14ac:dyDescent="0.3">
      <c r="A271" s="2" t="s">
        <v>14</v>
      </c>
      <c r="B271" s="6">
        <f>G271*56%</f>
        <v>6858.3200000000006</v>
      </c>
      <c r="C271" s="6"/>
      <c r="D271" s="31">
        <f t="shared" si="14"/>
        <v>5388.6799999999994</v>
      </c>
      <c r="E271" s="8" t="s">
        <v>8</v>
      </c>
      <c r="F271" s="8" t="s">
        <v>8</v>
      </c>
      <c r="G271" s="90">
        <f>19202-6955</f>
        <v>12247</v>
      </c>
      <c r="H271" s="91"/>
    </row>
    <row r="272" spans="1:9" ht="45.75" thickBot="1" x14ac:dyDescent="0.3">
      <c r="A272" s="2" t="s">
        <v>15</v>
      </c>
      <c r="B272" s="8" t="s">
        <v>8</v>
      </c>
      <c r="C272" s="8" t="s">
        <v>8</v>
      </c>
      <c r="D272" s="6"/>
      <c r="E272" s="8" t="s">
        <v>8</v>
      </c>
      <c r="F272" s="8" t="s">
        <v>8</v>
      </c>
      <c r="G272" s="90"/>
      <c r="H272" s="91"/>
    </row>
    <row r="273" spans="1:11" ht="15.75" thickBot="1" x14ac:dyDescent="0.3">
      <c r="A273" s="2" t="s">
        <v>16</v>
      </c>
      <c r="B273" s="8" t="s">
        <v>8</v>
      </c>
      <c r="C273" s="8" t="s">
        <v>8</v>
      </c>
      <c r="D273" s="12"/>
      <c r="E273" s="6"/>
      <c r="F273" s="6"/>
      <c r="G273" s="90"/>
      <c r="H273" s="91"/>
    </row>
    <row r="274" spans="1:11" ht="15.75" thickBot="1" x14ac:dyDescent="0.3">
      <c r="A274" s="3" t="s">
        <v>17</v>
      </c>
      <c r="B274" s="6">
        <f>G274*56%</f>
        <v>0</v>
      </c>
      <c r="C274" s="8"/>
      <c r="D274" s="6"/>
      <c r="E274" s="6">
        <f>G274-B274</f>
        <v>0</v>
      </c>
      <c r="F274" s="6"/>
      <c r="G274" s="90">
        <v>0</v>
      </c>
      <c r="H274" s="91"/>
    </row>
    <row r="275" spans="1:11" ht="15.75" thickBot="1" x14ac:dyDescent="0.3">
      <c r="A275" s="3" t="s">
        <v>18</v>
      </c>
      <c r="B275" s="6"/>
      <c r="C275" s="8"/>
      <c r="D275" s="8"/>
      <c r="E275" s="6"/>
      <c r="F275" s="6"/>
      <c r="G275" s="90"/>
      <c r="H275" s="91"/>
    </row>
    <row r="276" spans="1:11" ht="45.75" thickBot="1" x14ac:dyDescent="0.3">
      <c r="A276" s="2" t="s">
        <v>19</v>
      </c>
      <c r="B276" s="6"/>
      <c r="C276" s="8"/>
      <c r="D276" s="6"/>
      <c r="E276" s="6"/>
      <c r="F276" s="6"/>
      <c r="G276" s="94"/>
      <c r="H276" s="95"/>
    </row>
    <row r="277" spans="1:11" ht="30.75" thickBot="1" x14ac:dyDescent="0.3">
      <c r="A277" s="2" t="s">
        <v>20</v>
      </c>
      <c r="B277" s="6"/>
      <c r="C277" s="8"/>
      <c r="D277" s="6"/>
      <c r="E277" s="6">
        <v>24259</v>
      </c>
      <c r="F277" s="6"/>
      <c r="G277" s="90">
        <v>24259</v>
      </c>
      <c r="H277" s="91"/>
    </row>
    <row r="278" spans="1:11" ht="30.75" thickBot="1" x14ac:dyDescent="0.3">
      <c r="A278" s="2" t="s">
        <v>21</v>
      </c>
      <c r="B278" s="6">
        <f>G278*56%</f>
        <v>7911.6800000000012</v>
      </c>
      <c r="C278" s="6"/>
      <c r="D278" s="31">
        <f>G278-B278</f>
        <v>6216.3199999999988</v>
      </c>
      <c r="E278" s="8" t="s">
        <v>8</v>
      </c>
      <c r="F278" s="8" t="s">
        <v>8</v>
      </c>
      <c r="G278" s="90">
        <f>13460+191+477</f>
        <v>14128</v>
      </c>
      <c r="H278" s="91"/>
    </row>
    <row r="279" spans="1:11" ht="15.75" thickBot="1" x14ac:dyDescent="0.3">
      <c r="A279" s="3" t="s">
        <v>22</v>
      </c>
      <c r="B279" s="6">
        <f>G279*56%</f>
        <v>9314.4800000000014</v>
      </c>
      <c r="C279" s="6"/>
      <c r="D279" s="31">
        <f>G279-B279</f>
        <v>7318.5199999999986</v>
      </c>
      <c r="E279" s="8" t="s">
        <v>8</v>
      </c>
      <c r="F279" s="8" t="s">
        <v>8</v>
      </c>
      <c r="G279" s="90">
        <f>15453+65+1115</f>
        <v>16633</v>
      </c>
      <c r="H279" s="91"/>
    </row>
    <row r="280" spans="1:11" ht="15.75" thickBot="1" x14ac:dyDescent="0.3">
      <c r="A280" s="3" t="s">
        <v>23</v>
      </c>
      <c r="B280" s="8" t="s">
        <v>8</v>
      </c>
      <c r="C280" s="12"/>
      <c r="D280" s="8" t="s">
        <v>8</v>
      </c>
      <c r="E280" s="8" t="s">
        <v>8</v>
      </c>
      <c r="F280" s="8" t="s">
        <v>8</v>
      </c>
      <c r="G280" s="94"/>
      <c r="H280" s="95"/>
    </row>
    <row r="281" spans="1:11" ht="15.75" thickBot="1" x14ac:dyDescent="0.3">
      <c r="A281" s="3" t="s">
        <v>24</v>
      </c>
      <c r="B281" s="6"/>
      <c r="C281" s="6"/>
      <c r="D281" s="6"/>
      <c r="E281" s="8" t="s">
        <v>8</v>
      </c>
      <c r="F281" s="8" t="s">
        <v>8</v>
      </c>
      <c r="G281" s="90"/>
      <c r="H281" s="91"/>
    </row>
    <row r="282" spans="1:11" ht="15.75" thickBot="1" x14ac:dyDescent="0.3">
      <c r="A282" s="4" t="s">
        <v>25</v>
      </c>
      <c r="B282" s="6">
        <f>SUM(B266:B281)</f>
        <v>139884.92000000004</v>
      </c>
      <c r="C282" s="6"/>
      <c r="D282" s="6">
        <f>SUM(D266:D281)</f>
        <v>55410.079999999987</v>
      </c>
      <c r="E282" s="6">
        <f>SUM(E266:E281)</f>
        <v>24259</v>
      </c>
      <c r="F282" s="6"/>
      <c r="G282" s="90">
        <f>SUM(G266:H281)</f>
        <v>219554</v>
      </c>
      <c r="H282" s="91"/>
    </row>
    <row r="283" spans="1:11" x14ac:dyDescent="0.25">
      <c r="A283" s="92" t="s">
        <v>26</v>
      </c>
      <c r="B283" s="92"/>
      <c r="C283" s="92"/>
      <c r="D283" s="92"/>
      <c r="E283" s="92"/>
      <c r="F283" s="92"/>
      <c r="G283" s="92"/>
      <c r="H283" s="92"/>
    </row>
    <row r="284" spans="1:11" x14ac:dyDescent="0.25">
      <c r="A284" s="93" t="s">
        <v>27</v>
      </c>
      <c r="B284" s="93"/>
      <c r="C284" s="93"/>
      <c r="D284" s="93"/>
      <c r="E284" s="93"/>
      <c r="F284" s="93"/>
      <c r="G284" s="93"/>
      <c r="H284" s="93"/>
    </row>
    <row r="285" spans="1:11" x14ac:dyDescent="0.25">
      <c r="A285" s="93" t="s">
        <v>28</v>
      </c>
      <c r="B285" s="93"/>
      <c r="C285" s="93"/>
      <c r="D285" s="93"/>
      <c r="E285" s="93"/>
      <c r="F285" s="93"/>
      <c r="G285" s="93"/>
      <c r="H285" s="93"/>
      <c r="K285" s="10" t="e">
        <f>#REF!-#REF!</f>
        <v>#REF!</v>
      </c>
    </row>
    <row r="286" spans="1:11" x14ac:dyDescent="0.25">
      <c r="B286" s="10" t="s">
        <v>135</v>
      </c>
      <c r="C286" s="10">
        <v>133552</v>
      </c>
      <c r="K286" s="10" t="e">
        <f>K285-244898</f>
        <v>#REF!</v>
      </c>
    </row>
    <row r="287" spans="1:11" x14ac:dyDescent="0.25">
      <c r="C287" s="10">
        <f>C286-B282</f>
        <v>-6332.9200000000419</v>
      </c>
    </row>
    <row r="299" spans="1:8" x14ac:dyDescent="0.25">
      <c r="A299" s="27"/>
      <c r="B299" s="28"/>
      <c r="C299" s="28"/>
      <c r="D299" s="28"/>
      <c r="E299" s="112" t="s">
        <v>29</v>
      </c>
      <c r="F299" s="112"/>
      <c r="G299" s="112"/>
      <c r="H299" s="112"/>
    </row>
    <row r="300" spans="1:8" x14ac:dyDescent="0.25">
      <c r="A300" s="113"/>
      <c r="B300" s="114"/>
      <c r="C300" s="114"/>
      <c r="D300" s="115"/>
      <c r="E300" s="115" t="s">
        <v>0</v>
      </c>
      <c r="F300" s="115"/>
      <c r="G300" s="115"/>
      <c r="H300" s="115"/>
    </row>
    <row r="301" spans="1:8" x14ac:dyDescent="0.25">
      <c r="A301" s="113"/>
      <c r="B301" s="114"/>
      <c r="C301" s="114"/>
      <c r="D301" s="115"/>
      <c r="E301" s="126" t="s">
        <v>31</v>
      </c>
      <c r="F301" s="115"/>
      <c r="G301" s="115"/>
      <c r="H301" s="115"/>
    </row>
    <row r="302" spans="1:8" ht="15.75" thickBot="1" x14ac:dyDescent="0.3">
      <c r="A302" s="98" t="s">
        <v>47</v>
      </c>
      <c r="B302" s="98"/>
      <c r="C302" s="98"/>
      <c r="D302" s="98"/>
      <c r="E302" s="98"/>
      <c r="F302" s="98"/>
      <c r="G302" s="99"/>
      <c r="H302" s="99"/>
    </row>
    <row r="303" spans="1:8" x14ac:dyDescent="0.25">
      <c r="A303" s="100" t="s">
        <v>2</v>
      </c>
      <c r="B303" s="103" t="s">
        <v>30</v>
      </c>
      <c r="C303" s="104"/>
      <c r="D303" s="104"/>
      <c r="E303" s="104"/>
      <c r="F303" s="104"/>
      <c r="G303" s="105" t="s">
        <v>3</v>
      </c>
      <c r="H303" s="106"/>
    </row>
    <row r="304" spans="1:8" ht="180.75" thickBot="1" x14ac:dyDescent="0.3">
      <c r="A304" s="124"/>
      <c r="B304" s="105" t="s">
        <v>30</v>
      </c>
      <c r="C304" s="105"/>
      <c r="D304" s="15" t="s">
        <v>32</v>
      </c>
      <c r="E304" s="105" t="s">
        <v>4</v>
      </c>
      <c r="F304" s="105"/>
      <c r="G304" s="125"/>
      <c r="H304" s="109"/>
    </row>
    <row r="305" spans="1:11" ht="165.75" thickBot="1" x14ac:dyDescent="0.3">
      <c r="A305" s="102"/>
      <c r="B305" s="14" t="s">
        <v>36</v>
      </c>
      <c r="C305" s="30" t="s">
        <v>5</v>
      </c>
      <c r="D305" s="15" t="s">
        <v>33</v>
      </c>
      <c r="E305" s="30" t="s">
        <v>34</v>
      </c>
      <c r="F305" s="7" t="s">
        <v>35</v>
      </c>
      <c r="G305" s="110"/>
      <c r="H305" s="111"/>
    </row>
    <row r="306" spans="1:11" ht="15.75" thickBot="1" x14ac:dyDescent="0.3">
      <c r="A306" s="29">
        <v>1</v>
      </c>
      <c r="B306" s="7">
        <v>2</v>
      </c>
      <c r="C306" s="16">
        <v>3</v>
      </c>
      <c r="D306" s="30">
        <v>4</v>
      </c>
      <c r="E306" s="11">
        <v>5</v>
      </c>
      <c r="F306" s="7">
        <v>6</v>
      </c>
      <c r="G306" s="96" t="s">
        <v>37</v>
      </c>
      <c r="H306" s="97"/>
    </row>
    <row r="307" spans="1:11" ht="60.75" thickBot="1" x14ac:dyDescent="0.3">
      <c r="A307" s="2" t="s">
        <v>7</v>
      </c>
      <c r="B307" s="6">
        <f>B308</f>
        <v>82646.2</v>
      </c>
      <c r="C307" s="12"/>
      <c r="D307" s="6">
        <f>D308</f>
        <v>26098.800000000003</v>
      </c>
      <c r="E307" s="8" t="s">
        <v>8</v>
      </c>
      <c r="F307" s="8" t="s">
        <v>8</v>
      </c>
      <c r="G307" s="90">
        <f>G308+G309</f>
        <v>109983</v>
      </c>
      <c r="H307" s="91"/>
    </row>
    <row r="308" spans="1:11" ht="15.75" thickBot="1" x14ac:dyDescent="0.3">
      <c r="A308" s="3" t="s">
        <v>9</v>
      </c>
      <c r="B308" s="6">
        <f>G308*76%</f>
        <v>82646.2</v>
      </c>
      <c r="C308" s="12"/>
      <c r="D308" s="31">
        <f t="shared" ref="D308:D313" si="16">G308-B308</f>
        <v>26098.800000000003</v>
      </c>
      <c r="E308" s="8" t="s">
        <v>8</v>
      </c>
      <c r="F308" s="8" t="s">
        <v>8</v>
      </c>
      <c r="G308" s="90">
        <f>111415-526-2214+70</f>
        <v>108745</v>
      </c>
      <c r="H308" s="91"/>
    </row>
    <row r="309" spans="1:11" ht="15.75" thickBot="1" x14ac:dyDescent="0.3">
      <c r="A309" s="2" t="s">
        <v>10</v>
      </c>
      <c r="B309" s="6">
        <f>G309*76%</f>
        <v>940.88</v>
      </c>
      <c r="C309" s="12"/>
      <c r="D309" s="31">
        <f t="shared" si="16"/>
        <v>297.12</v>
      </c>
      <c r="E309" s="8" t="s">
        <v>8</v>
      </c>
      <c r="F309" s="8" t="s">
        <v>8</v>
      </c>
      <c r="G309" s="90">
        <v>1238</v>
      </c>
      <c r="H309" s="91"/>
    </row>
    <row r="310" spans="1:11" ht="60.75" thickBot="1" x14ac:dyDescent="0.3">
      <c r="A310" s="2" t="s">
        <v>11</v>
      </c>
      <c r="B310" s="6">
        <f>G310*76%</f>
        <v>37217.96</v>
      </c>
      <c r="C310" s="12"/>
      <c r="D310" s="31">
        <f t="shared" si="16"/>
        <v>11753.04</v>
      </c>
      <c r="E310" s="8" t="s">
        <v>8</v>
      </c>
      <c r="F310" s="8" t="s">
        <v>8</v>
      </c>
      <c r="G310" s="90">
        <f>48972+277-278</f>
        <v>48971</v>
      </c>
      <c r="H310" s="91"/>
    </row>
    <row r="311" spans="1:11" ht="30.75" thickBot="1" x14ac:dyDescent="0.3">
      <c r="A311" s="2" t="s">
        <v>12</v>
      </c>
      <c r="B311" s="6">
        <f>G311*76%</f>
        <v>2293.6799999999998</v>
      </c>
      <c r="C311" s="12"/>
      <c r="D311" s="31">
        <f t="shared" si="16"/>
        <v>724.32000000000016</v>
      </c>
      <c r="E311" s="8" t="s">
        <v>8</v>
      </c>
      <c r="F311" s="8" t="s">
        <v>8</v>
      </c>
      <c r="G311" s="90">
        <f>526+2214+278</f>
        <v>3018</v>
      </c>
      <c r="H311" s="91"/>
    </row>
    <row r="312" spans="1:11" ht="15.75" thickBot="1" x14ac:dyDescent="0.3">
      <c r="A312" s="2" t="s">
        <v>13</v>
      </c>
      <c r="B312" s="6">
        <f>G312*56%</f>
        <v>4321.5200000000004</v>
      </c>
      <c r="C312" s="6"/>
      <c r="D312" s="31">
        <f t="shared" si="16"/>
        <v>3395.4799999999996</v>
      </c>
      <c r="E312" s="8" t="s">
        <v>8</v>
      </c>
      <c r="F312" s="8" t="s">
        <v>8</v>
      </c>
      <c r="G312" s="90">
        <v>7717</v>
      </c>
      <c r="H312" s="91"/>
    </row>
    <row r="313" spans="1:11" ht="30.75" thickBot="1" x14ac:dyDescent="0.3">
      <c r="A313" s="2" t="s">
        <v>14</v>
      </c>
      <c r="B313" s="6">
        <f>G313*56%</f>
        <v>9591.1200000000008</v>
      </c>
      <c r="C313" s="6"/>
      <c r="D313" s="31">
        <f t="shared" si="16"/>
        <v>7535.8799999999992</v>
      </c>
      <c r="E313" s="8" t="s">
        <v>8</v>
      </c>
      <c r="F313" s="8" t="s">
        <v>8</v>
      </c>
      <c r="G313" s="90">
        <f>24844-7717</f>
        <v>17127</v>
      </c>
      <c r="H313" s="91"/>
    </row>
    <row r="314" spans="1:11" ht="45.75" thickBot="1" x14ac:dyDescent="0.3">
      <c r="A314" s="2" t="s">
        <v>15</v>
      </c>
      <c r="B314" s="8" t="s">
        <v>8</v>
      </c>
      <c r="C314" s="8" t="s">
        <v>8</v>
      </c>
      <c r="D314" s="6"/>
      <c r="E314" s="8" t="s">
        <v>8</v>
      </c>
      <c r="F314" s="8" t="s">
        <v>8</v>
      </c>
      <c r="G314" s="90"/>
      <c r="H314" s="91"/>
    </row>
    <row r="315" spans="1:11" ht="15.75" thickBot="1" x14ac:dyDescent="0.3">
      <c r="A315" s="2" t="s">
        <v>16</v>
      </c>
      <c r="B315" s="8" t="s">
        <v>8</v>
      </c>
      <c r="C315" s="8" t="s">
        <v>8</v>
      </c>
      <c r="D315" s="12"/>
      <c r="E315" s="6">
        <v>0</v>
      </c>
      <c r="F315" s="6"/>
      <c r="G315" s="90">
        <v>0</v>
      </c>
      <c r="H315" s="91"/>
    </row>
    <row r="316" spans="1:11" ht="15.75" thickBot="1" x14ac:dyDescent="0.3">
      <c r="A316" s="3" t="s">
        <v>17</v>
      </c>
      <c r="B316" s="6">
        <f>G316*56%</f>
        <v>0</v>
      </c>
      <c r="C316" s="8"/>
      <c r="D316" s="6"/>
      <c r="E316" s="6">
        <f>G316-B316</f>
        <v>0</v>
      </c>
      <c r="F316" s="6"/>
      <c r="G316" s="90">
        <v>0</v>
      </c>
      <c r="H316" s="91"/>
      <c r="K316" s="10">
        <f>G420+G423+G424</f>
        <v>222256</v>
      </c>
    </row>
    <row r="317" spans="1:11" ht="15.75" thickBot="1" x14ac:dyDescent="0.3">
      <c r="A317" s="3" t="s">
        <v>18</v>
      </c>
      <c r="B317" s="6"/>
      <c r="C317" s="8"/>
      <c r="D317" s="8"/>
      <c r="E317" s="6"/>
      <c r="F317" s="6"/>
      <c r="G317" s="90"/>
      <c r="H317" s="91"/>
      <c r="K317" s="10">
        <f>251786-K316</f>
        <v>29530</v>
      </c>
    </row>
    <row r="318" spans="1:11" ht="45.75" thickBot="1" x14ac:dyDescent="0.3">
      <c r="A318" s="2" t="s">
        <v>19</v>
      </c>
      <c r="B318" s="6"/>
      <c r="C318" s="8"/>
      <c r="D318" s="6"/>
      <c r="E318" s="6"/>
      <c r="F318" s="6"/>
      <c r="G318" s="94"/>
      <c r="H318" s="95"/>
    </row>
    <row r="319" spans="1:11" ht="30.75" thickBot="1" x14ac:dyDescent="0.3">
      <c r="A319" s="2" t="s">
        <v>20</v>
      </c>
      <c r="B319" s="6">
        <f>G319*56%</f>
        <v>15283.520000000002</v>
      </c>
      <c r="C319" s="8"/>
      <c r="D319" s="6"/>
      <c r="E319" s="6">
        <f>G319-B319</f>
        <v>12008.479999999998</v>
      </c>
      <c r="F319" s="6"/>
      <c r="G319" s="90">
        <v>27292</v>
      </c>
      <c r="H319" s="91"/>
    </row>
    <row r="320" spans="1:11" ht="30.75" thickBot="1" x14ac:dyDescent="0.3">
      <c r="A320" s="2" t="s">
        <v>21</v>
      </c>
      <c r="B320" s="6">
        <f>G320*56%</f>
        <v>8969.52</v>
      </c>
      <c r="C320" s="6"/>
      <c r="D320" s="31">
        <f>G320-B320</f>
        <v>7047.48</v>
      </c>
      <c r="E320" s="8" t="s">
        <v>8</v>
      </c>
      <c r="F320" s="8" t="s">
        <v>8</v>
      </c>
      <c r="G320" s="90">
        <f>15057+483+477</f>
        <v>16017</v>
      </c>
      <c r="H320" s="91"/>
    </row>
    <row r="321" spans="1:10" ht="15.75" thickBot="1" x14ac:dyDescent="0.3">
      <c r="A321" s="3" t="s">
        <v>22</v>
      </c>
      <c r="B321" s="6">
        <f>G321*56%</f>
        <v>9343.6</v>
      </c>
      <c r="C321" s="6"/>
      <c r="D321" s="31">
        <f>G321-B321</f>
        <v>7341.4</v>
      </c>
      <c r="E321" s="8" t="s">
        <v>8</v>
      </c>
      <c r="F321" s="8" t="s">
        <v>8</v>
      </c>
      <c r="G321" s="90">
        <f>15453+65+1167</f>
        <v>16685</v>
      </c>
      <c r="H321" s="91"/>
    </row>
    <row r="322" spans="1:10" ht="15.75" thickBot="1" x14ac:dyDescent="0.3">
      <c r="A322" s="3" t="s">
        <v>23</v>
      </c>
      <c r="B322" s="8" t="s">
        <v>8</v>
      </c>
      <c r="C322" s="12"/>
      <c r="D322" s="8" t="s">
        <v>8</v>
      </c>
      <c r="E322" s="8" t="s">
        <v>8</v>
      </c>
      <c r="F322" s="8" t="s">
        <v>8</v>
      </c>
      <c r="G322" s="94"/>
      <c r="H322" s="95"/>
    </row>
    <row r="323" spans="1:10" ht="15.75" thickBot="1" x14ac:dyDescent="0.3">
      <c r="A323" s="3" t="s">
        <v>24</v>
      </c>
      <c r="B323" s="6">
        <f>G323*56%</f>
        <v>0</v>
      </c>
      <c r="C323" s="6"/>
      <c r="D323" s="6"/>
      <c r="E323" s="8" t="s">
        <v>8</v>
      </c>
      <c r="F323" s="8" t="s">
        <v>8</v>
      </c>
      <c r="G323" s="90"/>
      <c r="H323" s="91"/>
    </row>
    <row r="324" spans="1:10" ht="15.75" thickBot="1" x14ac:dyDescent="0.3">
      <c r="A324" s="4" t="s">
        <v>25</v>
      </c>
      <c r="B324" s="6">
        <f>SUM(B308:B323)</f>
        <v>170608</v>
      </c>
      <c r="C324" s="6"/>
      <c r="D324" s="6">
        <f>SUM(D308:D323)</f>
        <v>64193.520000000011</v>
      </c>
      <c r="E324" s="6">
        <f>SUM(E308:E323)</f>
        <v>12008.479999999998</v>
      </c>
      <c r="F324" s="6"/>
      <c r="G324" s="90">
        <f>SUM(G308:H323)</f>
        <v>246810</v>
      </c>
      <c r="H324" s="91"/>
      <c r="J324" s="10">
        <f>291642-G324</f>
        <v>44832</v>
      </c>
    </row>
    <row r="325" spans="1:10" x14ac:dyDescent="0.25">
      <c r="A325" s="92" t="s">
        <v>26</v>
      </c>
      <c r="B325" s="92"/>
      <c r="C325" s="92"/>
      <c r="D325" s="92"/>
      <c r="E325" s="92"/>
      <c r="F325" s="92"/>
      <c r="G325" s="92"/>
      <c r="H325" s="92"/>
    </row>
    <row r="326" spans="1:10" x14ac:dyDescent="0.25">
      <c r="A326" s="93" t="s">
        <v>27</v>
      </c>
      <c r="B326" s="93"/>
      <c r="C326" s="93"/>
      <c r="D326" s="93"/>
      <c r="E326" s="93"/>
      <c r="F326" s="93"/>
      <c r="G326" s="93"/>
      <c r="H326" s="93"/>
    </row>
    <row r="327" spans="1:10" x14ac:dyDescent="0.25">
      <c r="A327" s="93" t="s">
        <v>28</v>
      </c>
      <c r="B327" s="93"/>
      <c r="C327" s="93"/>
      <c r="D327" s="93"/>
      <c r="E327" s="93"/>
      <c r="F327" s="93"/>
      <c r="G327" s="93"/>
      <c r="H327" s="93"/>
    </row>
    <row r="328" spans="1:10" x14ac:dyDescent="0.25">
      <c r="A328" s="1"/>
      <c r="B328" s="9"/>
      <c r="C328" s="9"/>
      <c r="D328" s="9"/>
      <c r="E328" s="9"/>
      <c r="F328" s="9"/>
      <c r="G328" s="9"/>
      <c r="H328" s="9"/>
    </row>
    <row r="329" spans="1:10" ht="15.75" x14ac:dyDescent="0.25">
      <c r="A329" s="5"/>
      <c r="B329" s="13" t="s">
        <v>136</v>
      </c>
      <c r="C329" s="13">
        <v>146558</v>
      </c>
    </row>
    <row r="330" spans="1:10" x14ac:dyDescent="0.25">
      <c r="C330" s="10">
        <f>C329-B324</f>
        <v>-24050</v>
      </c>
    </row>
    <row r="331" spans="1:10" x14ac:dyDescent="0.25">
      <c r="C331"/>
      <c r="D331"/>
      <c r="E331"/>
      <c r="F331"/>
      <c r="G331"/>
      <c r="H331"/>
    </row>
    <row r="332" spans="1:10" x14ac:dyDescent="0.25">
      <c r="C332"/>
      <c r="D332"/>
      <c r="E332"/>
      <c r="F332"/>
      <c r="G332"/>
      <c r="H332"/>
    </row>
    <row r="333" spans="1:10" x14ac:dyDescent="0.25">
      <c r="C333"/>
      <c r="D333"/>
      <c r="E333"/>
      <c r="F333"/>
      <c r="G333"/>
      <c r="H333"/>
    </row>
    <row r="334" spans="1:10" x14ac:dyDescent="0.25">
      <c r="A334" s="27"/>
      <c r="B334" s="28"/>
      <c r="C334" s="28"/>
      <c r="D334" s="28"/>
      <c r="E334" s="112" t="s">
        <v>29</v>
      </c>
      <c r="F334" s="112"/>
      <c r="G334" s="112"/>
      <c r="H334" s="112"/>
    </row>
    <row r="335" spans="1:10" x14ac:dyDescent="0.25">
      <c r="A335" s="113"/>
      <c r="B335" s="114"/>
      <c r="C335" s="114"/>
      <c r="D335" s="115"/>
      <c r="E335" s="115" t="s">
        <v>0</v>
      </c>
      <c r="F335" s="115"/>
      <c r="G335" s="115"/>
      <c r="H335" s="115"/>
    </row>
    <row r="336" spans="1:10" x14ac:dyDescent="0.25">
      <c r="A336" s="113"/>
      <c r="B336" s="114"/>
      <c r="C336" s="114"/>
      <c r="D336" s="115"/>
      <c r="E336" s="126" t="s">
        <v>31</v>
      </c>
      <c r="F336" s="115"/>
      <c r="G336" s="115"/>
      <c r="H336" s="115"/>
    </row>
    <row r="337" spans="1:11" ht="15.75" thickBot="1" x14ac:dyDescent="0.3">
      <c r="A337" s="98" t="s">
        <v>64</v>
      </c>
      <c r="B337" s="98"/>
      <c r="C337" s="98"/>
      <c r="D337" s="98"/>
      <c r="E337" s="98"/>
      <c r="F337" s="98"/>
      <c r="G337" s="99"/>
      <c r="H337" s="99"/>
    </row>
    <row r="338" spans="1:11" x14ac:dyDescent="0.25">
      <c r="A338" s="100" t="s">
        <v>2</v>
      </c>
      <c r="B338" s="103" t="s">
        <v>30</v>
      </c>
      <c r="C338" s="104"/>
      <c r="D338" s="104"/>
      <c r="E338" s="104"/>
      <c r="F338" s="104"/>
      <c r="G338" s="105" t="s">
        <v>3</v>
      </c>
      <c r="H338" s="106"/>
    </row>
    <row r="339" spans="1:11" ht="180.75" thickBot="1" x14ac:dyDescent="0.3">
      <c r="A339" s="124"/>
      <c r="B339" s="105" t="s">
        <v>30</v>
      </c>
      <c r="C339" s="105"/>
      <c r="D339" s="15" t="s">
        <v>32</v>
      </c>
      <c r="E339" s="105" t="s">
        <v>4</v>
      </c>
      <c r="F339" s="105"/>
      <c r="G339" s="125"/>
      <c r="H339" s="109"/>
    </row>
    <row r="340" spans="1:11" ht="165.75" thickBot="1" x14ac:dyDescent="0.3">
      <c r="A340" s="102"/>
      <c r="B340" s="14" t="s">
        <v>36</v>
      </c>
      <c r="C340" s="30" t="s">
        <v>5</v>
      </c>
      <c r="D340" s="15" t="s">
        <v>33</v>
      </c>
      <c r="E340" s="30" t="s">
        <v>34</v>
      </c>
      <c r="F340" s="7" t="s">
        <v>35</v>
      </c>
      <c r="G340" s="110"/>
      <c r="H340" s="111"/>
    </row>
    <row r="341" spans="1:11" ht="15.75" thickBot="1" x14ac:dyDescent="0.3">
      <c r="A341" s="29">
        <v>1</v>
      </c>
      <c r="B341" s="7">
        <v>2</v>
      </c>
      <c r="C341" s="16">
        <v>3</v>
      </c>
      <c r="D341" s="30">
        <v>4</v>
      </c>
      <c r="E341" s="11">
        <v>5</v>
      </c>
      <c r="F341" s="7">
        <v>6</v>
      </c>
      <c r="G341" s="96" t="s">
        <v>37</v>
      </c>
      <c r="H341" s="97"/>
    </row>
    <row r="342" spans="1:11" ht="60.75" thickBot="1" x14ac:dyDescent="0.3">
      <c r="A342" s="2" t="s">
        <v>7</v>
      </c>
      <c r="B342" s="6">
        <f>B343</f>
        <v>93686.720000000001</v>
      </c>
      <c r="C342" s="12"/>
      <c r="D342" s="6">
        <f>D343</f>
        <v>29585.279999999999</v>
      </c>
      <c r="E342" s="8" t="s">
        <v>8</v>
      </c>
      <c r="F342" s="8" t="s">
        <v>8</v>
      </c>
      <c r="G342" s="90">
        <f>G343+G344</f>
        <v>124510</v>
      </c>
      <c r="H342" s="91"/>
    </row>
    <row r="343" spans="1:11" ht="15.75" thickBot="1" x14ac:dyDescent="0.3">
      <c r="A343" s="3" t="s">
        <v>9</v>
      </c>
      <c r="B343" s="6">
        <f>G343*76%</f>
        <v>93686.720000000001</v>
      </c>
      <c r="C343" s="12"/>
      <c r="D343" s="31">
        <f t="shared" ref="D343:D348" si="17">G343-B343</f>
        <v>29585.279999999999</v>
      </c>
      <c r="E343" s="8" t="s">
        <v>8</v>
      </c>
      <c r="F343" s="8" t="s">
        <v>8</v>
      </c>
      <c r="G343" s="127">
        <f>-612-2214+125992+106</f>
        <v>123272</v>
      </c>
      <c r="H343" s="91"/>
    </row>
    <row r="344" spans="1:11" ht="15.75" thickBot="1" x14ac:dyDescent="0.3">
      <c r="A344" s="2" t="s">
        <v>10</v>
      </c>
      <c r="B344" s="6">
        <f>G344*76%</f>
        <v>940.88</v>
      </c>
      <c r="C344" s="12"/>
      <c r="D344" s="31">
        <f t="shared" si="17"/>
        <v>297.12</v>
      </c>
      <c r="E344" s="8" t="s">
        <v>8</v>
      </c>
      <c r="F344" s="8" t="s">
        <v>8</v>
      </c>
      <c r="G344" s="90">
        <v>1238</v>
      </c>
      <c r="H344" s="91"/>
    </row>
    <row r="345" spans="1:11" ht="60.75" thickBot="1" x14ac:dyDescent="0.3">
      <c r="A345" s="2" t="s">
        <v>11</v>
      </c>
      <c r="B345" s="6">
        <f>G345*76%</f>
        <v>41847.120000000003</v>
      </c>
      <c r="C345" s="12"/>
      <c r="D345" s="31">
        <f t="shared" si="17"/>
        <v>13214.879999999997</v>
      </c>
      <c r="E345" s="8" t="s">
        <v>8</v>
      </c>
      <c r="F345" s="8" t="s">
        <v>8</v>
      </c>
      <c r="G345" s="90">
        <f>55104-319+277</f>
        <v>55062</v>
      </c>
      <c r="H345" s="91"/>
    </row>
    <row r="346" spans="1:11" ht="30.75" thickBot="1" x14ac:dyDescent="0.3">
      <c r="A346" s="2" t="s">
        <v>12</v>
      </c>
      <c r="B346" s="6">
        <f>G346*76%</f>
        <v>2390.1999999999998</v>
      </c>
      <c r="C346" s="12"/>
      <c r="D346" s="31">
        <f t="shared" si="17"/>
        <v>754.80000000000018</v>
      </c>
      <c r="E346" s="8" t="s">
        <v>8</v>
      </c>
      <c r="F346" s="8" t="s">
        <v>8</v>
      </c>
      <c r="G346" s="90">
        <f>319+612+2214</f>
        <v>3145</v>
      </c>
      <c r="H346" s="91"/>
    </row>
    <row r="347" spans="1:11" ht="15.75" thickBot="1" x14ac:dyDescent="0.3">
      <c r="A347" s="2" t="s">
        <v>13</v>
      </c>
      <c r="B347" s="6">
        <f>G347*56%</f>
        <v>5874.4000000000005</v>
      </c>
      <c r="C347" s="6"/>
      <c r="D347" s="31">
        <f t="shared" si="17"/>
        <v>4615.5999999999995</v>
      </c>
      <c r="E347" s="8" t="s">
        <v>8</v>
      </c>
      <c r="F347" s="8" t="s">
        <v>8</v>
      </c>
      <c r="G347" s="90">
        <v>10490</v>
      </c>
      <c r="H347" s="91"/>
    </row>
    <row r="348" spans="1:11" ht="30.75" thickBot="1" x14ac:dyDescent="0.3">
      <c r="A348" s="2" t="s">
        <v>14</v>
      </c>
      <c r="B348" s="6">
        <f>G348*56%</f>
        <v>10526.320000000002</v>
      </c>
      <c r="C348" s="6"/>
      <c r="D348" s="31">
        <f t="shared" si="17"/>
        <v>8270.6799999999985</v>
      </c>
      <c r="E348" s="8" t="s">
        <v>8</v>
      </c>
      <c r="F348" s="8" t="s">
        <v>8</v>
      </c>
      <c r="G348" s="90">
        <f>29287-10490</f>
        <v>18797</v>
      </c>
      <c r="H348" s="91"/>
      <c r="I348" s="10">
        <f>G345+G346+G342</f>
        <v>182717</v>
      </c>
    </row>
    <row r="349" spans="1:11" ht="45.75" thickBot="1" x14ac:dyDescent="0.3">
      <c r="A349" s="2" t="s">
        <v>15</v>
      </c>
      <c r="B349" s="8" t="s">
        <v>8</v>
      </c>
      <c r="C349" s="8" t="s">
        <v>8</v>
      </c>
      <c r="D349" s="6"/>
      <c r="E349" s="8" t="s">
        <v>8</v>
      </c>
      <c r="F349" s="8" t="s">
        <v>8</v>
      </c>
      <c r="G349" s="90"/>
      <c r="H349" s="91"/>
    </row>
    <row r="350" spans="1:11" ht="15.75" thickBot="1" x14ac:dyDescent="0.3">
      <c r="A350" s="2" t="s">
        <v>16</v>
      </c>
      <c r="B350" s="8" t="s">
        <v>8</v>
      </c>
      <c r="C350" s="8" t="s">
        <v>8</v>
      </c>
      <c r="D350" s="12"/>
      <c r="E350" s="6">
        <v>0</v>
      </c>
      <c r="F350" s="6"/>
      <c r="G350" s="90">
        <v>0</v>
      </c>
      <c r="H350" s="91"/>
    </row>
    <row r="351" spans="1:11" ht="15.75" thickBot="1" x14ac:dyDescent="0.3">
      <c r="A351" s="3" t="s">
        <v>17</v>
      </c>
      <c r="B351" s="6">
        <f>G351*56%</f>
        <v>0</v>
      </c>
      <c r="C351" s="8"/>
      <c r="D351" s="6"/>
      <c r="E351" s="6">
        <f>G351-B351</f>
        <v>0</v>
      </c>
      <c r="F351" s="6"/>
      <c r="G351" s="90">
        <v>0</v>
      </c>
      <c r="H351" s="91"/>
      <c r="K351" s="10">
        <f>G455+G458+G459</f>
        <v>0</v>
      </c>
    </row>
    <row r="352" spans="1:11" ht="15.75" thickBot="1" x14ac:dyDescent="0.3">
      <c r="A352" s="3" t="s">
        <v>18</v>
      </c>
      <c r="B352" s="6"/>
      <c r="C352" s="8"/>
      <c r="D352" s="8"/>
      <c r="E352" s="6"/>
      <c r="F352" s="6"/>
      <c r="G352" s="90"/>
      <c r="H352" s="91"/>
      <c r="K352" s="10">
        <f>251786-K351</f>
        <v>251786</v>
      </c>
    </row>
    <row r="353" spans="1:10" ht="45.75" thickBot="1" x14ac:dyDescent="0.3">
      <c r="A353" s="2" t="s">
        <v>19</v>
      </c>
      <c r="B353" s="6"/>
      <c r="C353" s="8"/>
      <c r="D353" s="6"/>
      <c r="E353" s="6"/>
      <c r="F353" s="6"/>
      <c r="G353" s="94"/>
      <c r="H353" s="95"/>
    </row>
    <row r="354" spans="1:10" ht="30.75" thickBot="1" x14ac:dyDescent="0.3">
      <c r="A354" s="2" t="s">
        <v>20</v>
      </c>
      <c r="B354" s="6">
        <f>G354*56%</f>
        <v>16981.440000000002</v>
      </c>
      <c r="C354" s="8"/>
      <c r="D354" s="6"/>
      <c r="E354" s="6">
        <f>G354-B354</f>
        <v>13342.559999999998</v>
      </c>
      <c r="F354" s="6"/>
      <c r="G354" s="90">
        <v>30324</v>
      </c>
      <c r="H354" s="91"/>
    </row>
    <row r="355" spans="1:10" ht="30.75" thickBot="1" x14ac:dyDescent="0.3">
      <c r="A355" s="2" t="s">
        <v>21</v>
      </c>
      <c r="B355" s="6">
        <f>G355*56%</f>
        <v>10026.240000000002</v>
      </c>
      <c r="C355" s="6"/>
      <c r="D355" s="31">
        <f>G355-B355</f>
        <v>7877.7599999999984</v>
      </c>
      <c r="E355" s="8" t="s">
        <v>8</v>
      </c>
      <c r="F355" s="8" t="s">
        <v>8</v>
      </c>
      <c r="G355" s="90">
        <f>16740+687+477</f>
        <v>17904</v>
      </c>
      <c r="H355" s="91"/>
    </row>
    <row r="356" spans="1:10" ht="15.75" thickBot="1" x14ac:dyDescent="0.3">
      <c r="A356" s="3" t="s">
        <v>22</v>
      </c>
      <c r="B356" s="6">
        <f>G356*56%</f>
        <v>9530.0800000000017</v>
      </c>
      <c r="C356" s="6"/>
      <c r="D356" s="31">
        <f>G356-B356</f>
        <v>7487.9199999999983</v>
      </c>
      <c r="E356" s="8" t="s">
        <v>8</v>
      </c>
      <c r="F356" s="8" t="s">
        <v>8</v>
      </c>
      <c r="G356" s="90">
        <f>15453+323+1242</f>
        <v>17018</v>
      </c>
      <c r="H356" s="91"/>
    </row>
    <row r="357" spans="1:10" ht="15.75" thickBot="1" x14ac:dyDescent="0.3">
      <c r="A357" s="3" t="s">
        <v>23</v>
      </c>
      <c r="B357" s="8" t="s">
        <v>8</v>
      </c>
      <c r="C357" s="12"/>
      <c r="D357" s="8" t="s">
        <v>8</v>
      </c>
      <c r="E357" s="8" t="s">
        <v>8</v>
      </c>
      <c r="F357" s="8" t="s">
        <v>8</v>
      </c>
      <c r="G357" s="94"/>
      <c r="H357" s="95"/>
    </row>
    <row r="358" spans="1:10" ht="15.75" thickBot="1" x14ac:dyDescent="0.3">
      <c r="A358" s="3" t="s">
        <v>24</v>
      </c>
      <c r="B358" s="6">
        <f>G358*56%</f>
        <v>0</v>
      </c>
      <c r="C358" s="6"/>
      <c r="D358" s="6"/>
      <c r="E358" s="8" t="s">
        <v>8</v>
      </c>
      <c r="F358" s="8" t="s">
        <v>8</v>
      </c>
      <c r="G358" s="90"/>
      <c r="H358" s="91"/>
    </row>
    <row r="359" spans="1:10" ht="15.75" thickBot="1" x14ac:dyDescent="0.3">
      <c r="A359" s="4" t="s">
        <v>25</v>
      </c>
      <c r="B359" s="6">
        <f>SUM(B343:B358)</f>
        <v>191803.40000000002</v>
      </c>
      <c r="C359" s="6"/>
      <c r="D359" s="6">
        <f>SUM(D343:D358)</f>
        <v>72104.039999999994</v>
      </c>
      <c r="E359" s="6">
        <f>SUM(E343:E358)</f>
        <v>13342.559999999998</v>
      </c>
      <c r="F359" s="6"/>
      <c r="G359" s="90">
        <f>SUM(G343:H358)</f>
        <v>277250</v>
      </c>
      <c r="H359" s="91"/>
      <c r="J359" s="10">
        <f>325453-G359</f>
        <v>48203</v>
      </c>
    </row>
    <row r="360" spans="1:10" x14ac:dyDescent="0.25">
      <c r="A360" s="92" t="s">
        <v>26</v>
      </c>
      <c r="B360" s="92"/>
      <c r="C360" s="92"/>
      <c r="D360" s="92"/>
      <c r="E360" s="92"/>
      <c r="F360" s="92"/>
      <c r="G360" s="92"/>
      <c r="H360" s="92"/>
    </row>
    <row r="361" spans="1:10" x14ac:dyDescent="0.25">
      <c r="A361" s="93" t="s">
        <v>27</v>
      </c>
      <c r="B361" s="93"/>
      <c r="C361" s="93"/>
      <c r="D361" s="93"/>
      <c r="E361" s="93"/>
      <c r="F361" s="93"/>
      <c r="G361" s="93"/>
      <c r="H361" s="93"/>
    </row>
    <row r="362" spans="1:10" x14ac:dyDescent="0.25">
      <c r="A362" s="93" t="s">
        <v>28</v>
      </c>
      <c r="B362" s="93"/>
      <c r="C362" s="93"/>
      <c r="D362" s="93"/>
      <c r="E362" s="93"/>
      <c r="F362" s="93"/>
      <c r="G362" s="93"/>
      <c r="H362" s="93"/>
    </row>
    <row r="363" spans="1:10" x14ac:dyDescent="0.25">
      <c r="A363" s="1"/>
      <c r="B363" s="9"/>
      <c r="C363" s="9"/>
      <c r="D363" s="9"/>
      <c r="E363" s="9"/>
      <c r="F363" s="9"/>
      <c r="G363" s="9"/>
      <c r="H363" s="9"/>
    </row>
    <row r="364" spans="1:10" ht="15.75" x14ac:dyDescent="0.25">
      <c r="A364" s="5"/>
      <c r="B364" s="13" t="s">
        <v>137</v>
      </c>
      <c r="C364" s="13">
        <v>162817</v>
      </c>
    </row>
    <row r="365" spans="1:10" x14ac:dyDescent="0.25">
      <c r="C365" s="10">
        <f>C364-B359</f>
        <v>-28986.400000000023</v>
      </c>
    </row>
    <row r="366" spans="1:10" x14ac:dyDescent="0.25">
      <c r="C366"/>
      <c r="D366"/>
      <c r="E366"/>
      <c r="F366"/>
      <c r="G366"/>
      <c r="H366"/>
    </row>
    <row r="367" spans="1:10" x14ac:dyDescent="0.25">
      <c r="C367"/>
      <c r="D367"/>
      <c r="E367"/>
      <c r="F367"/>
      <c r="G367"/>
      <c r="H367"/>
    </row>
    <row r="368" spans="1:10" x14ac:dyDescent="0.25">
      <c r="C368"/>
      <c r="D368"/>
      <c r="E368"/>
      <c r="F368"/>
      <c r="G368"/>
      <c r="H368"/>
    </row>
    <row r="369" spans="1:9" x14ac:dyDescent="0.25">
      <c r="C369"/>
      <c r="D369"/>
      <c r="E369"/>
      <c r="F369"/>
      <c r="G369"/>
      <c r="H369"/>
    </row>
    <row r="370" spans="1:9" x14ac:dyDescent="0.25">
      <c r="A370" s="27"/>
      <c r="B370" s="28"/>
      <c r="C370" s="28"/>
      <c r="D370" s="28"/>
      <c r="E370" s="112" t="s">
        <v>29</v>
      </c>
      <c r="F370" s="112"/>
      <c r="G370" s="112"/>
      <c r="H370" s="112"/>
    </row>
    <row r="371" spans="1:9" x14ac:dyDescent="0.25">
      <c r="A371" s="113"/>
      <c r="B371" s="114"/>
      <c r="C371" s="114"/>
      <c r="D371" s="115"/>
      <c r="E371" s="115" t="s">
        <v>0</v>
      </c>
      <c r="F371" s="115"/>
      <c r="G371" s="115"/>
      <c r="H371" s="115"/>
    </row>
    <row r="372" spans="1:9" x14ac:dyDescent="0.25">
      <c r="A372" s="113"/>
      <c r="B372" s="114"/>
      <c r="C372" s="114"/>
      <c r="D372" s="115"/>
      <c r="E372" s="126" t="s">
        <v>31</v>
      </c>
      <c r="F372" s="115"/>
      <c r="G372" s="115"/>
      <c r="H372" s="115"/>
    </row>
    <row r="373" spans="1:9" ht="15.75" thickBot="1" x14ac:dyDescent="0.3">
      <c r="A373" s="98" t="s">
        <v>65</v>
      </c>
      <c r="B373" s="98"/>
      <c r="C373" s="98"/>
      <c r="D373" s="98"/>
      <c r="E373" s="98"/>
      <c r="F373" s="98"/>
      <c r="G373" s="99"/>
      <c r="H373" s="99"/>
    </row>
    <row r="374" spans="1:9" x14ac:dyDescent="0.25">
      <c r="A374" s="100" t="s">
        <v>2</v>
      </c>
      <c r="B374" s="103" t="s">
        <v>30</v>
      </c>
      <c r="C374" s="104"/>
      <c r="D374" s="104"/>
      <c r="E374" s="104"/>
      <c r="F374" s="104"/>
      <c r="G374" s="105" t="s">
        <v>3</v>
      </c>
      <c r="H374" s="106"/>
    </row>
    <row r="375" spans="1:9" ht="180.75" thickBot="1" x14ac:dyDescent="0.3">
      <c r="A375" s="124"/>
      <c r="B375" s="105" t="s">
        <v>30</v>
      </c>
      <c r="C375" s="105"/>
      <c r="D375" s="15" t="s">
        <v>32</v>
      </c>
      <c r="E375" s="105" t="s">
        <v>4</v>
      </c>
      <c r="F375" s="105"/>
      <c r="G375" s="125"/>
      <c r="H375" s="109"/>
    </row>
    <row r="376" spans="1:9" ht="165.75" thickBot="1" x14ac:dyDescent="0.3">
      <c r="A376" s="102"/>
      <c r="B376" s="14" t="s">
        <v>36</v>
      </c>
      <c r="C376" s="30" t="s">
        <v>5</v>
      </c>
      <c r="D376" s="15" t="s">
        <v>33</v>
      </c>
      <c r="E376" s="30" t="s">
        <v>34</v>
      </c>
      <c r="F376" s="7" t="s">
        <v>35</v>
      </c>
      <c r="G376" s="110"/>
      <c r="H376" s="111"/>
    </row>
    <row r="377" spans="1:9" ht="15.75" thickBot="1" x14ac:dyDescent="0.3">
      <c r="A377" s="29">
        <v>1</v>
      </c>
      <c r="B377" s="7">
        <v>2</v>
      </c>
      <c r="C377" s="16">
        <v>3</v>
      </c>
      <c r="D377" s="30">
        <v>4</v>
      </c>
      <c r="E377" s="11">
        <v>5</v>
      </c>
      <c r="F377" s="7">
        <v>6</v>
      </c>
      <c r="G377" s="96" t="s">
        <v>37</v>
      </c>
      <c r="H377" s="97"/>
    </row>
    <row r="378" spans="1:9" ht="60.75" thickBot="1" x14ac:dyDescent="0.3">
      <c r="A378" s="2" t="s">
        <v>7</v>
      </c>
      <c r="B378" s="6">
        <f>B379</f>
        <v>104184.6</v>
      </c>
      <c r="C378" s="12"/>
      <c r="D378" s="6">
        <f>D379</f>
        <v>32900.399999999994</v>
      </c>
      <c r="E378" s="8" t="s">
        <v>8</v>
      </c>
      <c r="F378" s="8" t="s">
        <v>8</v>
      </c>
      <c r="G378" s="90">
        <f>153571-1508-2075+67</f>
        <v>150055</v>
      </c>
      <c r="H378" s="91"/>
    </row>
    <row r="379" spans="1:9" ht="15.75" thickBot="1" x14ac:dyDescent="0.3">
      <c r="A379" s="3" t="s">
        <v>9</v>
      </c>
      <c r="B379" s="6">
        <f>G379*76%</f>
        <v>104184.6</v>
      </c>
      <c r="C379" s="12"/>
      <c r="D379" s="31">
        <f t="shared" ref="D379:D384" si="18">G379-B379</f>
        <v>32900.399999999994</v>
      </c>
      <c r="E379" s="8" t="s">
        <v>8</v>
      </c>
      <c r="F379" s="8" t="s">
        <v>8</v>
      </c>
      <c r="G379" s="90">
        <f>139885-693-2214+107</f>
        <v>137085</v>
      </c>
      <c r="H379" s="91"/>
    </row>
    <row r="380" spans="1:9" ht="15.75" thickBot="1" x14ac:dyDescent="0.3">
      <c r="A380" s="2" t="s">
        <v>10</v>
      </c>
      <c r="B380" s="6">
        <f>G380*76%</f>
        <v>940.88</v>
      </c>
      <c r="C380" s="12"/>
      <c r="D380" s="31">
        <f t="shared" si="18"/>
        <v>297.12</v>
      </c>
      <c r="E380" s="8" t="s">
        <v>8</v>
      </c>
      <c r="F380" s="8" t="s">
        <v>8</v>
      </c>
      <c r="G380" s="90">
        <v>1238</v>
      </c>
      <c r="H380" s="91"/>
    </row>
    <row r="381" spans="1:9" ht="60.75" thickBot="1" x14ac:dyDescent="0.3">
      <c r="A381" s="2" t="s">
        <v>11</v>
      </c>
      <c r="B381" s="6">
        <f>G381*76%</f>
        <v>46512</v>
      </c>
      <c r="C381" s="12"/>
      <c r="D381" s="31">
        <f t="shared" si="18"/>
        <v>14688</v>
      </c>
      <c r="E381" s="8" t="s">
        <v>8</v>
      </c>
      <c r="F381" s="8" t="s">
        <v>8</v>
      </c>
      <c r="G381" s="90">
        <f>-361+277+61284</f>
        <v>61200</v>
      </c>
      <c r="H381" s="91"/>
    </row>
    <row r="382" spans="1:9" ht="30.75" thickBot="1" x14ac:dyDescent="0.3">
      <c r="A382" s="2" t="s">
        <v>12</v>
      </c>
      <c r="B382" s="6">
        <f>G382*76%</f>
        <v>2483.6799999999998</v>
      </c>
      <c r="C382" s="12"/>
      <c r="D382" s="31">
        <f t="shared" si="18"/>
        <v>784.32000000000016</v>
      </c>
      <c r="E382" s="8" t="s">
        <v>8</v>
      </c>
      <c r="F382" s="8" t="s">
        <v>8</v>
      </c>
      <c r="G382" s="90">
        <f>693+2214+361</f>
        <v>3268</v>
      </c>
      <c r="H382" s="91"/>
    </row>
    <row r="383" spans="1:9" ht="15.75" thickBot="1" x14ac:dyDescent="0.3">
      <c r="A383" s="2" t="s">
        <v>13</v>
      </c>
      <c r="B383" s="6">
        <f>G383*56%</f>
        <v>7116.4800000000005</v>
      </c>
      <c r="C383" s="6"/>
      <c r="D383" s="31">
        <f t="shared" si="18"/>
        <v>5591.5199999999995</v>
      </c>
      <c r="E383" s="8" t="s">
        <v>8</v>
      </c>
      <c r="F383" s="8" t="s">
        <v>8</v>
      </c>
      <c r="G383" s="90">
        <v>12708</v>
      </c>
      <c r="H383" s="91"/>
    </row>
    <row r="384" spans="1:9" ht="30.75" thickBot="1" x14ac:dyDescent="0.3">
      <c r="A384" s="2" t="s">
        <v>14</v>
      </c>
      <c r="B384" s="6">
        <f>G384*56%</f>
        <v>11905.6</v>
      </c>
      <c r="C384" s="6"/>
      <c r="D384" s="31">
        <f t="shared" si="18"/>
        <v>9354.4</v>
      </c>
      <c r="E384" s="8" t="s">
        <v>8</v>
      </c>
      <c r="F384" s="8" t="s">
        <v>8</v>
      </c>
      <c r="G384" s="90">
        <f>33968-12708</f>
        <v>21260</v>
      </c>
      <c r="H384" s="91"/>
      <c r="I384" s="10">
        <f>G381+G382+G379</f>
        <v>201553</v>
      </c>
    </row>
    <row r="385" spans="1:11" ht="45.75" thickBot="1" x14ac:dyDescent="0.3">
      <c r="A385" s="2" t="s">
        <v>15</v>
      </c>
      <c r="B385" s="8" t="s">
        <v>8</v>
      </c>
      <c r="C385" s="8" t="s">
        <v>8</v>
      </c>
      <c r="D385" s="6"/>
      <c r="E385" s="8" t="s">
        <v>8</v>
      </c>
      <c r="F385" s="8" t="s">
        <v>8</v>
      </c>
      <c r="G385" s="90"/>
      <c r="H385" s="91"/>
    </row>
    <row r="386" spans="1:11" ht="15.75" thickBot="1" x14ac:dyDescent="0.3">
      <c r="A386" s="2" t="s">
        <v>16</v>
      </c>
      <c r="B386" s="8" t="s">
        <v>8</v>
      </c>
      <c r="C386" s="8" t="s">
        <v>8</v>
      </c>
      <c r="D386" s="12"/>
      <c r="E386" s="6">
        <v>0</v>
      </c>
      <c r="F386" s="6"/>
      <c r="G386" s="90">
        <v>0</v>
      </c>
      <c r="H386" s="91"/>
    </row>
    <row r="387" spans="1:11" ht="15.75" thickBot="1" x14ac:dyDescent="0.3">
      <c r="A387" s="3" t="s">
        <v>17</v>
      </c>
      <c r="B387" s="6">
        <f>G387*56%</f>
        <v>0</v>
      </c>
      <c r="C387" s="8"/>
      <c r="D387" s="6"/>
      <c r="E387" s="6">
        <f>G387-B387</f>
        <v>0</v>
      </c>
      <c r="F387" s="6"/>
      <c r="G387" s="90">
        <v>0</v>
      </c>
      <c r="H387" s="91"/>
      <c r="K387" s="10" t="e">
        <f>#REF!+#REF!+#REF!</f>
        <v>#REF!</v>
      </c>
    </row>
    <row r="388" spans="1:11" ht="15.75" thickBot="1" x14ac:dyDescent="0.3">
      <c r="A388" s="3" t="s">
        <v>18</v>
      </c>
      <c r="B388" s="6"/>
      <c r="C388" s="8"/>
      <c r="D388" s="8"/>
      <c r="E388" s="6"/>
      <c r="F388" s="6"/>
      <c r="G388" s="90"/>
      <c r="H388" s="91"/>
      <c r="K388" s="10" t="e">
        <f>251786-K387</f>
        <v>#REF!</v>
      </c>
    </row>
    <row r="389" spans="1:11" ht="45.75" thickBot="1" x14ac:dyDescent="0.3">
      <c r="A389" s="2" t="s">
        <v>19</v>
      </c>
      <c r="B389" s="6"/>
      <c r="C389" s="8"/>
      <c r="D389" s="6"/>
      <c r="E389" s="6"/>
      <c r="F389" s="6"/>
      <c r="G389" s="94"/>
      <c r="H389" s="95"/>
    </row>
    <row r="390" spans="1:11" ht="30.75" thickBot="1" x14ac:dyDescent="0.3">
      <c r="A390" s="2" t="s">
        <v>20</v>
      </c>
      <c r="B390" s="6">
        <f>G390*56%</f>
        <v>18741.52</v>
      </c>
      <c r="C390" s="8"/>
      <c r="D390" s="6"/>
      <c r="E390" s="6">
        <f>G390-B390</f>
        <v>14725.48</v>
      </c>
      <c r="F390" s="6"/>
      <c r="G390" s="90">
        <v>33467</v>
      </c>
      <c r="H390" s="91"/>
    </row>
    <row r="391" spans="1:11" ht="30.75" thickBot="1" x14ac:dyDescent="0.3">
      <c r="A391" s="2" t="s">
        <v>21</v>
      </c>
      <c r="B391" s="6">
        <f>G391*56%</f>
        <v>10565.52</v>
      </c>
      <c r="C391" s="6"/>
      <c r="D391" s="31">
        <f>G391-B391</f>
        <v>8301.48</v>
      </c>
      <c r="E391" s="8" t="s">
        <v>8</v>
      </c>
      <c r="F391" s="8" t="s">
        <v>8</v>
      </c>
      <c r="G391" s="90">
        <f>17332+1058+477</f>
        <v>18867</v>
      </c>
      <c r="H391" s="91"/>
    </row>
    <row r="392" spans="1:11" ht="15.75" thickBot="1" x14ac:dyDescent="0.3">
      <c r="A392" s="3" t="s">
        <v>22</v>
      </c>
      <c r="B392" s="6">
        <f>G392*56%</f>
        <v>9558.0800000000017</v>
      </c>
      <c r="C392" s="6"/>
      <c r="D392" s="31">
        <f>G392-B392</f>
        <v>7509.9199999999983</v>
      </c>
      <c r="E392" s="8" t="s">
        <v>8</v>
      </c>
      <c r="F392" s="8" t="s">
        <v>8</v>
      </c>
      <c r="G392" s="90">
        <f>15453+323+1292</f>
        <v>17068</v>
      </c>
      <c r="H392" s="91"/>
    </row>
    <row r="393" spans="1:11" ht="15.75" thickBot="1" x14ac:dyDescent="0.3">
      <c r="A393" s="3" t="s">
        <v>23</v>
      </c>
      <c r="B393" s="8" t="s">
        <v>8</v>
      </c>
      <c r="C393" s="12"/>
      <c r="D393" s="8" t="s">
        <v>8</v>
      </c>
      <c r="E393" s="8" t="s">
        <v>8</v>
      </c>
      <c r="F393" s="8" t="s">
        <v>8</v>
      </c>
      <c r="G393" s="94"/>
      <c r="H393" s="95"/>
    </row>
    <row r="394" spans="1:11" ht="15.75" thickBot="1" x14ac:dyDescent="0.3">
      <c r="A394" s="3" t="s">
        <v>24</v>
      </c>
      <c r="B394" s="6">
        <f>G394*56%</f>
        <v>0</v>
      </c>
      <c r="C394" s="6"/>
      <c r="D394" s="6"/>
      <c r="E394" s="8" t="s">
        <v>8</v>
      </c>
      <c r="F394" s="8" t="s">
        <v>8</v>
      </c>
      <c r="G394" s="90"/>
      <c r="H394" s="91"/>
    </row>
    <row r="395" spans="1:11" ht="15.75" thickBot="1" x14ac:dyDescent="0.3">
      <c r="A395" s="4" t="s">
        <v>25</v>
      </c>
      <c r="B395" s="6">
        <f>SUM(B379:B394)</f>
        <v>212008.36</v>
      </c>
      <c r="C395" s="6"/>
      <c r="D395" s="6">
        <f>SUM(D379:D394)</f>
        <v>79427.159999999989</v>
      </c>
      <c r="E395" s="6">
        <f>SUM(E379:E394)</f>
        <v>14725.48</v>
      </c>
      <c r="F395" s="6"/>
      <c r="G395" s="90">
        <f>SUM(G379:H394)</f>
        <v>306161</v>
      </c>
      <c r="H395" s="91"/>
      <c r="J395" s="10"/>
    </row>
    <row r="396" spans="1:11" x14ac:dyDescent="0.25">
      <c r="A396" s="92" t="s">
        <v>26</v>
      </c>
      <c r="B396" s="92"/>
      <c r="C396" s="92"/>
      <c r="D396" s="92"/>
      <c r="E396" s="92"/>
      <c r="F396" s="92"/>
      <c r="G396" s="92"/>
      <c r="H396" s="92"/>
    </row>
    <row r="397" spans="1:11" x14ac:dyDescent="0.25">
      <c r="A397" s="93" t="s">
        <v>27</v>
      </c>
      <c r="B397" s="93"/>
      <c r="C397" s="93"/>
      <c r="D397" s="93"/>
      <c r="E397" s="93"/>
      <c r="F397" s="93"/>
      <c r="G397" s="93"/>
      <c r="H397" s="93"/>
    </row>
    <row r="398" spans="1:11" ht="17.25" customHeight="1" x14ac:dyDescent="0.25">
      <c r="A398" s="93" t="s">
        <v>28</v>
      </c>
      <c r="B398" s="93"/>
      <c r="C398" s="93"/>
      <c r="D398" s="93"/>
      <c r="E398" s="93"/>
      <c r="F398" s="93"/>
      <c r="G398" s="93"/>
      <c r="H398" s="93"/>
    </row>
    <row r="399" spans="1:11" ht="12.75" customHeight="1" x14ac:dyDescent="0.25">
      <c r="A399" s="1"/>
      <c r="B399" s="9"/>
      <c r="C399" s="9"/>
      <c r="D399" s="9"/>
      <c r="E399" s="9"/>
      <c r="F399" s="9"/>
      <c r="G399" s="9"/>
      <c r="H399" s="9"/>
    </row>
    <row r="400" spans="1:11" ht="27.75" customHeight="1" x14ac:dyDescent="0.25">
      <c r="A400" s="5"/>
      <c r="B400" s="13" t="s">
        <v>139</v>
      </c>
      <c r="C400" s="13">
        <v>179740</v>
      </c>
    </row>
    <row r="401" spans="1:11" x14ac:dyDescent="0.25">
      <c r="C401" s="10">
        <f>C400-B395</f>
        <v>-32268.359999999986</v>
      </c>
    </row>
    <row r="402" spans="1:11" x14ac:dyDescent="0.25">
      <c r="C402"/>
      <c r="D402"/>
      <c r="E402"/>
      <c r="F402"/>
      <c r="G402"/>
      <c r="H402"/>
    </row>
    <row r="403" spans="1:11" x14ac:dyDescent="0.25">
      <c r="C403"/>
      <c r="D403"/>
      <c r="E403"/>
      <c r="F403"/>
      <c r="G403"/>
      <c r="H403"/>
    </row>
    <row r="404" spans="1:11" x14ac:dyDescent="0.25">
      <c r="C404"/>
      <c r="D404"/>
      <c r="E404"/>
      <c r="F404"/>
      <c r="G404"/>
      <c r="H404"/>
    </row>
    <row r="405" spans="1:11" x14ac:dyDescent="0.25">
      <c r="C405"/>
      <c r="D405"/>
      <c r="E405"/>
      <c r="F405"/>
      <c r="G405"/>
      <c r="H405"/>
    </row>
    <row r="406" spans="1:11" x14ac:dyDescent="0.25">
      <c r="C406"/>
      <c r="D406"/>
      <c r="E406"/>
      <c r="F406"/>
      <c r="G406"/>
      <c r="H406"/>
    </row>
    <row r="407" spans="1:11" x14ac:dyDescent="0.25">
      <c r="C407"/>
      <c r="D407"/>
      <c r="E407"/>
      <c r="F407"/>
      <c r="G407"/>
      <c r="H407"/>
    </row>
    <row r="408" spans="1:11" x14ac:dyDescent="0.25">
      <c r="C408"/>
      <c r="D408"/>
      <c r="E408"/>
      <c r="F408"/>
      <c r="G408"/>
      <c r="H408"/>
      <c r="K408" s="10">
        <f>G437-G432</f>
        <v>305036</v>
      </c>
    </row>
    <row r="409" spans="1:11" x14ac:dyDescent="0.25">
      <c r="C409"/>
      <c r="D409"/>
      <c r="E409"/>
      <c r="F409"/>
      <c r="G409"/>
      <c r="H409"/>
      <c r="K409" s="10">
        <f>K408-371770</f>
        <v>-66734</v>
      </c>
    </row>
    <row r="410" spans="1:11" x14ac:dyDescent="0.25">
      <c r="C410"/>
      <c r="D410"/>
      <c r="E410"/>
      <c r="F410"/>
      <c r="G410"/>
      <c r="H410"/>
    </row>
    <row r="411" spans="1:11" x14ac:dyDescent="0.25">
      <c r="C411"/>
      <c r="D411"/>
      <c r="E411"/>
      <c r="F411"/>
      <c r="G411"/>
      <c r="H411"/>
    </row>
    <row r="412" spans="1:11" x14ac:dyDescent="0.25">
      <c r="A412" s="27"/>
      <c r="B412" s="28"/>
      <c r="C412" s="28"/>
      <c r="D412" s="28"/>
      <c r="E412" s="112" t="s">
        <v>29</v>
      </c>
      <c r="F412" s="112"/>
      <c r="G412" s="112"/>
      <c r="H412" s="112"/>
    </row>
    <row r="413" spans="1:11" x14ac:dyDescent="0.25">
      <c r="A413" s="113"/>
      <c r="B413" s="114"/>
      <c r="C413" s="114"/>
      <c r="D413" s="115"/>
      <c r="E413" s="115" t="s">
        <v>0</v>
      </c>
      <c r="F413" s="115"/>
      <c r="G413" s="115"/>
      <c r="H413" s="115"/>
    </row>
    <row r="414" spans="1:11" x14ac:dyDescent="0.25">
      <c r="A414" s="113"/>
      <c r="B414" s="114"/>
      <c r="C414" s="114"/>
      <c r="D414" s="115"/>
      <c r="E414" s="126" t="s">
        <v>31</v>
      </c>
      <c r="F414" s="115"/>
      <c r="G414" s="115"/>
      <c r="H414" s="115"/>
    </row>
    <row r="415" spans="1:11" ht="15.75" thickBot="1" x14ac:dyDescent="0.3">
      <c r="A415" s="98" t="s">
        <v>49</v>
      </c>
      <c r="B415" s="98"/>
      <c r="C415" s="98"/>
      <c r="D415" s="98"/>
      <c r="E415" s="98"/>
      <c r="F415" s="98"/>
      <c r="G415" s="99"/>
      <c r="H415" s="99"/>
    </row>
    <row r="416" spans="1:11" x14ac:dyDescent="0.25">
      <c r="A416" s="100" t="s">
        <v>2</v>
      </c>
      <c r="B416" s="103" t="s">
        <v>30</v>
      </c>
      <c r="C416" s="104"/>
      <c r="D416" s="104"/>
      <c r="E416" s="104"/>
      <c r="F416" s="104"/>
      <c r="G416" s="105" t="s">
        <v>3</v>
      </c>
      <c r="H416" s="106"/>
    </row>
    <row r="417" spans="1:11" ht="180.75" thickBot="1" x14ac:dyDescent="0.3">
      <c r="A417" s="124"/>
      <c r="B417" s="105" t="s">
        <v>30</v>
      </c>
      <c r="C417" s="105"/>
      <c r="D417" s="15" t="s">
        <v>32</v>
      </c>
      <c r="E417" s="105" t="s">
        <v>4</v>
      </c>
      <c r="F417" s="105"/>
      <c r="G417" s="125"/>
      <c r="H417" s="109"/>
    </row>
    <row r="418" spans="1:11" ht="165.75" thickBot="1" x14ac:dyDescent="0.3">
      <c r="A418" s="102"/>
      <c r="B418" s="14" t="s">
        <v>36</v>
      </c>
      <c r="C418" s="30" t="s">
        <v>5</v>
      </c>
      <c r="D418" s="15" t="s">
        <v>33</v>
      </c>
      <c r="E418" s="30" t="s">
        <v>34</v>
      </c>
      <c r="F418" s="7" t="s">
        <v>35</v>
      </c>
      <c r="G418" s="110"/>
      <c r="H418" s="111"/>
    </row>
    <row r="419" spans="1:11" ht="15.75" thickBot="1" x14ac:dyDescent="0.3">
      <c r="A419" s="29">
        <v>1</v>
      </c>
      <c r="B419" s="7">
        <v>2</v>
      </c>
      <c r="C419" s="16">
        <v>3</v>
      </c>
      <c r="D419" s="30">
        <v>4</v>
      </c>
      <c r="E419" s="11">
        <v>5</v>
      </c>
      <c r="F419" s="7">
        <v>6</v>
      </c>
      <c r="G419" s="96" t="s">
        <v>37</v>
      </c>
      <c r="H419" s="97"/>
    </row>
    <row r="420" spans="1:11" ht="57.75" customHeight="1" thickBot="1" x14ac:dyDescent="0.3">
      <c r="A420" s="2" t="s">
        <v>7</v>
      </c>
      <c r="B420" s="6">
        <f>B421</f>
        <v>113930.08</v>
      </c>
      <c r="C420" s="12"/>
      <c r="D420" s="6">
        <f>D421</f>
        <v>35977.919999999998</v>
      </c>
      <c r="E420" s="8" t="s">
        <v>8</v>
      </c>
      <c r="F420" s="8" t="s">
        <v>8</v>
      </c>
      <c r="G420" s="90">
        <f>G421+G422</f>
        <v>151146</v>
      </c>
      <c r="H420" s="91"/>
    </row>
    <row r="421" spans="1:11" ht="15.75" thickBot="1" x14ac:dyDescent="0.3">
      <c r="A421" s="3" t="s">
        <v>9</v>
      </c>
      <c r="B421" s="6">
        <f>G421*76%</f>
        <v>113930.08</v>
      </c>
      <c r="C421" s="12"/>
      <c r="D421" s="31">
        <f t="shared" ref="D421:D426" si="19">G421-B421</f>
        <v>35977.919999999998</v>
      </c>
      <c r="E421" s="8" t="s">
        <v>8</v>
      </c>
      <c r="F421" s="8" t="s">
        <v>8</v>
      </c>
      <c r="G421" s="90">
        <f>-753-2214+152746+129</f>
        <v>149908</v>
      </c>
      <c r="H421" s="91"/>
      <c r="I421">
        <f>G421/K425</f>
        <v>0.67448347851126633</v>
      </c>
    </row>
    <row r="422" spans="1:11" ht="15.75" thickBot="1" x14ac:dyDescent="0.3">
      <c r="A422" s="2" t="s">
        <v>10</v>
      </c>
      <c r="B422" s="6">
        <f>G422*76%</f>
        <v>940.88</v>
      </c>
      <c r="C422" s="12"/>
      <c r="D422" s="31">
        <f t="shared" si="19"/>
        <v>297.12</v>
      </c>
      <c r="E422" s="8" t="s">
        <v>8</v>
      </c>
      <c r="F422" s="8" t="s">
        <v>8</v>
      </c>
      <c r="G422" s="90">
        <v>1238</v>
      </c>
      <c r="H422" s="91"/>
    </row>
    <row r="423" spans="1:11" ht="60.75" thickBot="1" x14ac:dyDescent="0.3">
      <c r="A423" s="2" t="s">
        <v>11</v>
      </c>
      <c r="B423" s="6">
        <f>G423*76%</f>
        <v>51490.76</v>
      </c>
      <c r="C423" s="12"/>
      <c r="D423" s="31">
        <f t="shared" si="19"/>
        <v>16260.239999999998</v>
      </c>
      <c r="E423" s="8" t="s">
        <v>8</v>
      </c>
      <c r="F423" s="8" t="s">
        <v>8</v>
      </c>
      <c r="G423" s="90">
        <f>67866-392+277</f>
        <v>67751</v>
      </c>
      <c r="H423" s="91"/>
      <c r="I423">
        <f>G423/K425</f>
        <v>0.30483316535886545</v>
      </c>
    </row>
    <row r="424" spans="1:11" ht="30.75" thickBot="1" x14ac:dyDescent="0.3">
      <c r="A424" s="2" t="s">
        <v>12</v>
      </c>
      <c r="B424" s="6">
        <f>G424*76%</f>
        <v>2552.84</v>
      </c>
      <c r="C424" s="12"/>
      <c r="D424" s="31">
        <f t="shared" si="19"/>
        <v>806.15999999999985</v>
      </c>
      <c r="E424" s="8" t="s">
        <v>8</v>
      </c>
      <c r="F424" s="8" t="s">
        <v>8</v>
      </c>
      <c r="G424" s="90">
        <f>392+753+2214</f>
        <v>3359</v>
      </c>
      <c r="H424" s="91"/>
      <c r="I424">
        <f>G424/K425</f>
        <v>1.5113202793175438E-2</v>
      </c>
    </row>
    <row r="425" spans="1:11" ht="15.75" thickBot="1" x14ac:dyDescent="0.3">
      <c r="A425" s="2" t="s">
        <v>13</v>
      </c>
      <c r="B425" s="6">
        <f>G425*56%</f>
        <v>9136.4000000000015</v>
      </c>
      <c r="C425" s="6"/>
      <c r="D425" s="31">
        <f t="shared" si="19"/>
        <v>7178.5999999999985</v>
      </c>
      <c r="E425" s="8" t="s">
        <v>8</v>
      </c>
      <c r="F425" s="8" t="s">
        <v>8</v>
      </c>
      <c r="G425" s="90">
        <v>16315</v>
      </c>
      <c r="H425" s="91"/>
      <c r="J425" s="10">
        <f>G424+G423+G420</f>
        <v>222256</v>
      </c>
      <c r="K425" s="10">
        <f>G420+G423+G424</f>
        <v>222256</v>
      </c>
    </row>
    <row r="426" spans="1:11" ht="30.75" thickBot="1" x14ac:dyDescent="0.3">
      <c r="A426" s="2" t="s">
        <v>14</v>
      </c>
      <c r="B426" s="6">
        <f>G426*56%</f>
        <v>12943.840000000002</v>
      </c>
      <c r="C426" s="6"/>
      <c r="D426" s="31">
        <f t="shared" si="19"/>
        <v>10170.159999999998</v>
      </c>
      <c r="E426" s="8" t="s">
        <v>8</v>
      </c>
      <c r="F426" s="8" t="s">
        <v>8</v>
      </c>
      <c r="G426" s="90">
        <f>39429-16315</f>
        <v>23114</v>
      </c>
      <c r="H426" s="91"/>
    </row>
    <row r="427" spans="1:11" ht="45.75" thickBot="1" x14ac:dyDescent="0.3">
      <c r="A427" s="2" t="s">
        <v>15</v>
      </c>
      <c r="B427" s="8" t="s">
        <v>8</v>
      </c>
      <c r="C427" s="8" t="s">
        <v>8</v>
      </c>
      <c r="D427" s="6"/>
      <c r="E427" s="8" t="s">
        <v>8</v>
      </c>
      <c r="F427" s="8" t="s">
        <v>8</v>
      </c>
      <c r="G427" s="90"/>
      <c r="H427" s="91"/>
    </row>
    <row r="428" spans="1:11" ht="15.75" thickBot="1" x14ac:dyDescent="0.3">
      <c r="A428" s="2" t="s">
        <v>16</v>
      </c>
      <c r="B428" s="8" t="s">
        <v>8</v>
      </c>
      <c r="C428" s="8" t="s">
        <v>8</v>
      </c>
      <c r="D428" s="12"/>
      <c r="E428" s="6">
        <v>0</v>
      </c>
      <c r="F428" s="6"/>
      <c r="G428" s="90">
        <v>0</v>
      </c>
      <c r="H428" s="91"/>
    </row>
    <row r="429" spans="1:11" ht="15.75" thickBot="1" x14ac:dyDescent="0.3">
      <c r="A429" s="3" t="s">
        <v>17</v>
      </c>
      <c r="B429" s="6">
        <f>G429*56%</f>
        <v>0</v>
      </c>
      <c r="C429" s="8"/>
      <c r="D429" s="6"/>
      <c r="E429" s="6">
        <f>G429-B429</f>
        <v>0</v>
      </c>
      <c r="F429" s="6"/>
      <c r="G429" s="90">
        <v>0</v>
      </c>
      <c r="H429" s="91"/>
    </row>
    <row r="430" spans="1:11" ht="15.75" thickBot="1" x14ac:dyDescent="0.3">
      <c r="A430" s="3" t="s">
        <v>18</v>
      </c>
      <c r="B430" s="6"/>
      <c r="C430" s="8"/>
      <c r="D430" s="8"/>
      <c r="E430" s="6"/>
      <c r="F430" s="6"/>
      <c r="G430" s="90"/>
      <c r="H430" s="91"/>
    </row>
    <row r="431" spans="1:11" ht="45.75" thickBot="1" x14ac:dyDescent="0.3">
      <c r="A431" s="2" t="s">
        <v>19</v>
      </c>
      <c r="B431" s="6"/>
      <c r="C431" s="8"/>
      <c r="D431" s="6"/>
      <c r="E431" s="6"/>
      <c r="F431" s="6"/>
      <c r="G431" s="94"/>
      <c r="H431" s="95"/>
    </row>
    <row r="432" spans="1:11" ht="30.75" thickBot="1" x14ac:dyDescent="0.3">
      <c r="A432" s="2" t="s">
        <v>20</v>
      </c>
      <c r="B432" s="6"/>
      <c r="C432" s="8"/>
      <c r="D432" s="6"/>
      <c r="E432" s="6">
        <f>G432-B432</f>
        <v>36610</v>
      </c>
      <c r="F432" s="6"/>
      <c r="G432" s="90">
        <v>36610</v>
      </c>
      <c r="H432" s="91"/>
    </row>
    <row r="433" spans="1:10" ht="30.75" thickBot="1" x14ac:dyDescent="0.3">
      <c r="A433" s="2" t="s">
        <v>21</v>
      </c>
      <c r="B433" s="6">
        <f>G433*56%</f>
        <v>14132.160000000002</v>
      </c>
      <c r="C433" s="6"/>
      <c r="D433" s="31">
        <f>G433-B433</f>
        <v>11103.839999999998</v>
      </c>
      <c r="E433" s="8" t="s">
        <v>8</v>
      </c>
      <c r="F433" s="8" t="s">
        <v>8</v>
      </c>
      <c r="G433" s="90">
        <f>23167+1305+477+42+245</f>
        <v>25236</v>
      </c>
      <c r="H433" s="91"/>
    </row>
    <row r="434" spans="1:10" ht="15.75" thickBot="1" x14ac:dyDescent="0.3">
      <c r="A434" s="3" t="s">
        <v>22</v>
      </c>
      <c r="B434" s="6">
        <f>G434*56%</f>
        <v>10144.400000000001</v>
      </c>
      <c r="C434" s="6"/>
      <c r="D434" s="6"/>
      <c r="E434" s="6">
        <f>G434-B434</f>
        <v>7970.5999999999985</v>
      </c>
      <c r="F434" s="8" t="s">
        <v>8</v>
      </c>
      <c r="G434" s="90">
        <f>15453+323+83+2256</f>
        <v>18115</v>
      </c>
      <c r="H434" s="91"/>
      <c r="J434">
        <v>40435</v>
      </c>
    </row>
    <row r="435" spans="1:10" ht="15.75" thickBot="1" x14ac:dyDescent="0.3">
      <c r="A435" s="3" t="s">
        <v>23</v>
      </c>
      <c r="B435" s="8" t="s">
        <v>8</v>
      </c>
      <c r="C435" s="12"/>
      <c r="D435" s="8" t="s">
        <v>8</v>
      </c>
      <c r="E435" s="8" t="s">
        <v>8</v>
      </c>
      <c r="F435" s="8" t="s">
        <v>8</v>
      </c>
      <c r="G435" s="94"/>
      <c r="H435" s="95"/>
    </row>
    <row r="436" spans="1:10" ht="15.75" thickBot="1" x14ac:dyDescent="0.3">
      <c r="A436" s="3" t="s">
        <v>24</v>
      </c>
      <c r="B436" s="6">
        <f>G436*56%</f>
        <v>0</v>
      </c>
      <c r="C436" s="6"/>
      <c r="D436" s="6"/>
      <c r="E436" s="8" t="s">
        <v>8</v>
      </c>
      <c r="F436" s="8" t="s">
        <v>8</v>
      </c>
      <c r="G436" s="90"/>
      <c r="H436" s="91"/>
    </row>
    <row r="437" spans="1:10" ht="15.75" thickBot="1" x14ac:dyDescent="0.3">
      <c r="A437" s="4" t="s">
        <v>25</v>
      </c>
      <c r="B437" s="6">
        <f>SUM(B421:B436)</f>
        <v>215271.36</v>
      </c>
      <c r="C437" s="6"/>
      <c r="D437" s="6">
        <f>SUM(D421:D436)</f>
        <v>81794.039999999994</v>
      </c>
      <c r="E437" s="6">
        <f>SUM(E421:E436)</f>
        <v>44580.6</v>
      </c>
      <c r="F437" s="6"/>
      <c r="G437" s="90">
        <f>SUM(G421:H436)</f>
        <v>341646</v>
      </c>
      <c r="H437" s="91"/>
      <c r="J437" s="10">
        <f>425477-G437</f>
        <v>83831</v>
      </c>
    </row>
    <row r="438" spans="1:10" x14ac:dyDescent="0.25">
      <c r="A438" s="92" t="s">
        <v>26</v>
      </c>
      <c r="B438" s="92"/>
      <c r="C438" s="92"/>
      <c r="D438" s="92"/>
      <c r="E438" s="92"/>
      <c r="F438" s="92"/>
      <c r="G438" s="92"/>
      <c r="H438" s="92"/>
    </row>
    <row r="439" spans="1:10" x14ac:dyDescent="0.25">
      <c r="A439" s="93" t="s">
        <v>27</v>
      </c>
      <c r="B439" s="93"/>
      <c r="C439" s="93"/>
      <c r="D439" s="93"/>
      <c r="E439" s="93"/>
      <c r="F439" s="93"/>
      <c r="G439" s="93"/>
      <c r="H439" s="93"/>
    </row>
    <row r="440" spans="1:10" x14ac:dyDescent="0.25">
      <c r="A440" s="93" t="s">
        <v>28</v>
      </c>
      <c r="B440" s="93"/>
      <c r="C440" s="93"/>
      <c r="D440" s="93"/>
      <c r="E440" s="93"/>
      <c r="F440" s="93"/>
      <c r="G440" s="93"/>
      <c r="H440" s="93"/>
    </row>
    <row r="441" spans="1:10" x14ac:dyDescent="0.25">
      <c r="A441" s="1"/>
      <c r="B441" s="9"/>
      <c r="C441" s="9"/>
      <c r="D441" s="9"/>
      <c r="E441" s="9"/>
      <c r="F441" s="9"/>
      <c r="G441" s="9"/>
      <c r="H441" s="9"/>
    </row>
    <row r="442" spans="1:10" ht="15.75" x14ac:dyDescent="0.25">
      <c r="A442" s="5"/>
      <c r="B442" s="13" t="s">
        <v>138</v>
      </c>
      <c r="C442" s="13">
        <v>233404</v>
      </c>
    </row>
    <row r="444" spans="1:10" x14ac:dyDescent="0.25">
      <c r="B444" s="10">
        <f>233404-B437</f>
        <v>18132.640000000014</v>
      </c>
      <c r="C444"/>
      <c r="D444"/>
      <c r="E444"/>
      <c r="F444"/>
      <c r="G444"/>
      <c r="H444"/>
    </row>
    <row r="445" spans="1:10" x14ac:dyDescent="0.25">
      <c r="C445"/>
      <c r="D445"/>
      <c r="E445"/>
      <c r="F445"/>
      <c r="G445"/>
      <c r="H445"/>
    </row>
    <row r="446" spans="1:10" x14ac:dyDescent="0.25">
      <c r="C446"/>
      <c r="D446"/>
      <c r="E446"/>
      <c r="F446"/>
      <c r="G446"/>
      <c r="H446"/>
    </row>
    <row r="447" spans="1:10" x14ac:dyDescent="0.25">
      <c r="C447"/>
      <c r="D447"/>
      <c r="E447"/>
      <c r="F447"/>
      <c r="G447"/>
      <c r="H447"/>
    </row>
    <row r="448" spans="1:10" x14ac:dyDescent="0.25">
      <c r="C448"/>
      <c r="D448"/>
      <c r="E448"/>
      <c r="F448"/>
      <c r="G448"/>
      <c r="H448"/>
    </row>
    <row r="449" spans="3:11" x14ac:dyDescent="0.25">
      <c r="C449"/>
      <c r="D449"/>
      <c r="E449"/>
      <c r="F449"/>
      <c r="G449"/>
      <c r="H449"/>
    </row>
    <row r="450" spans="3:11" x14ac:dyDescent="0.25">
      <c r="C450"/>
      <c r="D450"/>
      <c r="E450"/>
      <c r="F450"/>
      <c r="G450"/>
      <c r="H450"/>
    </row>
    <row r="451" spans="3:11" x14ac:dyDescent="0.25">
      <c r="C451"/>
      <c r="D451"/>
      <c r="E451"/>
      <c r="F451"/>
      <c r="G451"/>
      <c r="H451"/>
    </row>
    <row r="452" spans="3:11" x14ac:dyDescent="0.25">
      <c r="C452"/>
      <c r="D452"/>
      <c r="E452"/>
      <c r="F452"/>
      <c r="G452"/>
      <c r="H452"/>
    </row>
    <row r="453" spans="3:11" x14ac:dyDescent="0.25">
      <c r="C453"/>
      <c r="D453"/>
      <c r="E453"/>
      <c r="F453"/>
      <c r="G453"/>
      <c r="H453"/>
    </row>
    <row r="454" spans="3:11" x14ac:dyDescent="0.25">
      <c r="C454"/>
      <c r="D454"/>
      <c r="E454"/>
      <c r="F454"/>
      <c r="G454"/>
      <c r="H454"/>
    </row>
    <row r="455" spans="3:11" x14ac:dyDescent="0.25">
      <c r="C455"/>
      <c r="D455"/>
      <c r="E455"/>
      <c r="F455"/>
      <c r="G455"/>
      <c r="H455"/>
    </row>
    <row r="457" spans="3:11" x14ac:dyDescent="0.25">
      <c r="K457" s="10" t="e">
        <f>#REF!-#REF!</f>
        <v>#REF!</v>
      </c>
    </row>
    <row r="458" spans="3:11" x14ac:dyDescent="0.25">
      <c r="K458" s="10" t="e">
        <f>K457-191414+66</f>
        <v>#REF!</v>
      </c>
    </row>
  </sheetData>
  <mergeCells count="444">
    <mergeCell ref="E2:H2"/>
    <mergeCell ref="A3:A4"/>
    <mergeCell ref="B3:B4"/>
    <mergeCell ref="C3:C4"/>
    <mergeCell ref="D3:D4"/>
    <mergeCell ref="E3:H3"/>
    <mergeCell ref="E4:H4"/>
    <mergeCell ref="G9:H9"/>
    <mergeCell ref="G10:H10"/>
    <mergeCell ref="G11:H11"/>
    <mergeCell ref="G12:H12"/>
    <mergeCell ref="G13:H13"/>
    <mergeCell ref="G14:H14"/>
    <mergeCell ref="A5:H5"/>
    <mergeCell ref="A6:A8"/>
    <mergeCell ref="B6:F6"/>
    <mergeCell ref="G6:H6"/>
    <mergeCell ref="B7:C7"/>
    <mergeCell ref="E7:F7"/>
    <mergeCell ref="G7:H7"/>
    <mergeCell ref="G8:H8"/>
    <mergeCell ref="G21:H21"/>
    <mergeCell ref="G22:H22"/>
    <mergeCell ref="G23:H23"/>
    <mergeCell ref="G24:H24"/>
    <mergeCell ref="G25:H25"/>
    <mergeCell ref="G26:H26"/>
    <mergeCell ref="G15:H15"/>
    <mergeCell ref="G16:H16"/>
    <mergeCell ref="G17:H17"/>
    <mergeCell ref="G18:H18"/>
    <mergeCell ref="G19:H19"/>
    <mergeCell ref="G20:H20"/>
    <mergeCell ref="G27:H27"/>
    <mergeCell ref="A28:H28"/>
    <mergeCell ref="A29:H29"/>
    <mergeCell ref="A30:H30"/>
    <mergeCell ref="E38:H38"/>
    <mergeCell ref="A39:A40"/>
    <mergeCell ref="B39:B40"/>
    <mergeCell ref="C39:C40"/>
    <mergeCell ref="D39:D40"/>
    <mergeCell ref="E39:H39"/>
    <mergeCell ref="G45:H45"/>
    <mergeCell ref="G46:H46"/>
    <mergeCell ref="G47:H47"/>
    <mergeCell ref="G48:H48"/>
    <mergeCell ref="G49:H49"/>
    <mergeCell ref="G50:H50"/>
    <mergeCell ref="E40:H40"/>
    <mergeCell ref="A41:H41"/>
    <mergeCell ref="A42:A44"/>
    <mergeCell ref="B42:F42"/>
    <mergeCell ref="G42:H42"/>
    <mergeCell ref="B43:C43"/>
    <mergeCell ref="E43:F43"/>
    <mergeCell ref="G43:H43"/>
    <mergeCell ref="G44:H44"/>
    <mergeCell ref="G57:H57"/>
    <mergeCell ref="G58:H58"/>
    <mergeCell ref="G59:H59"/>
    <mergeCell ref="G60:H60"/>
    <mergeCell ref="G61:H61"/>
    <mergeCell ref="G62:H62"/>
    <mergeCell ref="G51:H51"/>
    <mergeCell ref="G52:H52"/>
    <mergeCell ref="G53:H53"/>
    <mergeCell ref="G54:H54"/>
    <mergeCell ref="G55:H55"/>
    <mergeCell ref="G56:H56"/>
    <mergeCell ref="G63:H63"/>
    <mergeCell ref="A64:H64"/>
    <mergeCell ref="A65:H65"/>
    <mergeCell ref="A66:H66"/>
    <mergeCell ref="E76:H76"/>
    <mergeCell ref="A77:A78"/>
    <mergeCell ref="B77:B78"/>
    <mergeCell ref="C77:C78"/>
    <mergeCell ref="D77:D78"/>
    <mergeCell ref="E77:H77"/>
    <mergeCell ref="G83:H83"/>
    <mergeCell ref="G84:H84"/>
    <mergeCell ref="G85:H85"/>
    <mergeCell ref="G86:H86"/>
    <mergeCell ref="G87:H87"/>
    <mergeCell ref="G88:H88"/>
    <mergeCell ref="E78:H78"/>
    <mergeCell ref="A79:H79"/>
    <mergeCell ref="A80:A82"/>
    <mergeCell ref="B80:F80"/>
    <mergeCell ref="G80:H80"/>
    <mergeCell ref="B81:C81"/>
    <mergeCell ref="E81:F81"/>
    <mergeCell ref="G81:H81"/>
    <mergeCell ref="G82:H82"/>
    <mergeCell ref="G95:H95"/>
    <mergeCell ref="G96:H96"/>
    <mergeCell ref="G97:H97"/>
    <mergeCell ref="G98:H98"/>
    <mergeCell ref="G99:H99"/>
    <mergeCell ref="G100:H100"/>
    <mergeCell ref="G89:H89"/>
    <mergeCell ref="G90:H90"/>
    <mergeCell ref="G91:H91"/>
    <mergeCell ref="G92:H92"/>
    <mergeCell ref="G93:H93"/>
    <mergeCell ref="G94:H94"/>
    <mergeCell ref="G101:H101"/>
    <mergeCell ref="A102:H102"/>
    <mergeCell ref="A103:H103"/>
    <mergeCell ref="A104:H104"/>
    <mergeCell ref="E120:H120"/>
    <mergeCell ref="A121:A122"/>
    <mergeCell ref="B121:B122"/>
    <mergeCell ref="C121:C122"/>
    <mergeCell ref="D121:D122"/>
    <mergeCell ref="E121:H121"/>
    <mergeCell ref="G127:H127"/>
    <mergeCell ref="G128:H128"/>
    <mergeCell ref="G129:H129"/>
    <mergeCell ref="G130:H130"/>
    <mergeCell ref="G131:H131"/>
    <mergeCell ref="G132:H132"/>
    <mergeCell ref="E122:H122"/>
    <mergeCell ref="A123:H123"/>
    <mergeCell ref="A124:A126"/>
    <mergeCell ref="B124:F124"/>
    <mergeCell ref="G124:H124"/>
    <mergeCell ref="B125:C125"/>
    <mergeCell ref="E125:F125"/>
    <mergeCell ref="G125:H125"/>
    <mergeCell ref="G126:H126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45:H145"/>
    <mergeCell ref="A146:H146"/>
    <mergeCell ref="A147:H147"/>
    <mergeCell ref="A148:H148"/>
    <mergeCell ref="E155:H155"/>
    <mergeCell ref="A156:A157"/>
    <mergeCell ref="B156:B157"/>
    <mergeCell ref="C156:C157"/>
    <mergeCell ref="D156:D157"/>
    <mergeCell ref="E156:H156"/>
    <mergeCell ref="G162:H162"/>
    <mergeCell ref="G163:H163"/>
    <mergeCell ref="G164:H164"/>
    <mergeCell ref="G165:H165"/>
    <mergeCell ref="G166:H166"/>
    <mergeCell ref="G167:H167"/>
    <mergeCell ref="E157:H157"/>
    <mergeCell ref="A158:H158"/>
    <mergeCell ref="A159:A161"/>
    <mergeCell ref="B159:F159"/>
    <mergeCell ref="G159:H159"/>
    <mergeCell ref="B160:C160"/>
    <mergeCell ref="E160:F160"/>
    <mergeCell ref="G160:H160"/>
    <mergeCell ref="G161:H161"/>
    <mergeCell ref="G174:H174"/>
    <mergeCell ref="G175:H175"/>
    <mergeCell ref="G176:H176"/>
    <mergeCell ref="G177:H177"/>
    <mergeCell ref="G178:H178"/>
    <mergeCell ref="G179:H179"/>
    <mergeCell ref="G168:H168"/>
    <mergeCell ref="G169:H169"/>
    <mergeCell ref="G170:H170"/>
    <mergeCell ref="G171:H171"/>
    <mergeCell ref="G172:H172"/>
    <mergeCell ref="G173:H173"/>
    <mergeCell ref="G180:H180"/>
    <mergeCell ref="A181:H181"/>
    <mergeCell ref="A182:H182"/>
    <mergeCell ref="A183:H183"/>
    <mergeCell ref="E189:H189"/>
    <mergeCell ref="A190:A191"/>
    <mergeCell ref="B190:B191"/>
    <mergeCell ref="C190:C191"/>
    <mergeCell ref="D190:D191"/>
    <mergeCell ref="E190:H190"/>
    <mergeCell ref="G196:H196"/>
    <mergeCell ref="G197:H197"/>
    <mergeCell ref="G198:H198"/>
    <mergeCell ref="G199:H199"/>
    <mergeCell ref="G200:H200"/>
    <mergeCell ref="G201:H201"/>
    <mergeCell ref="E191:H191"/>
    <mergeCell ref="A192:H192"/>
    <mergeCell ref="A193:A195"/>
    <mergeCell ref="B193:F193"/>
    <mergeCell ref="G193:H193"/>
    <mergeCell ref="B194:C194"/>
    <mergeCell ref="E194:F194"/>
    <mergeCell ref="G194:H194"/>
    <mergeCell ref="G195:H195"/>
    <mergeCell ref="G208:H208"/>
    <mergeCell ref="G209:H209"/>
    <mergeCell ref="G210:H210"/>
    <mergeCell ref="G211:H211"/>
    <mergeCell ref="G212:H212"/>
    <mergeCell ref="G213:H213"/>
    <mergeCell ref="G202:H202"/>
    <mergeCell ref="G203:H203"/>
    <mergeCell ref="G204:H204"/>
    <mergeCell ref="G205:H205"/>
    <mergeCell ref="G206:H206"/>
    <mergeCell ref="G207:H207"/>
    <mergeCell ref="G214:H214"/>
    <mergeCell ref="A215:H215"/>
    <mergeCell ref="A216:H216"/>
    <mergeCell ref="A217:H217"/>
    <mergeCell ref="E223:H223"/>
    <mergeCell ref="A224:A225"/>
    <mergeCell ref="B224:B225"/>
    <mergeCell ref="C224:C225"/>
    <mergeCell ref="D224:D225"/>
    <mergeCell ref="E224:H224"/>
    <mergeCell ref="G230:H230"/>
    <mergeCell ref="G231:H231"/>
    <mergeCell ref="G232:H232"/>
    <mergeCell ref="G233:H233"/>
    <mergeCell ref="G234:H234"/>
    <mergeCell ref="G235:H235"/>
    <mergeCell ref="E225:H225"/>
    <mergeCell ref="A226:H226"/>
    <mergeCell ref="A227:A229"/>
    <mergeCell ref="B227:F227"/>
    <mergeCell ref="G227:H227"/>
    <mergeCell ref="B228:C228"/>
    <mergeCell ref="E228:F228"/>
    <mergeCell ref="G228:H228"/>
    <mergeCell ref="G229:H229"/>
    <mergeCell ref="G242:H242"/>
    <mergeCell ref="G243:H243"/>
    <mergeCell ref="G244:H244"/>
    <mergeCell ref="G245:H245"/>
    <mergeCell ref="G246:H246"/>
    <mergeCell ref="G247:H247"/>
    <mergeCell ref="G236:H236"/>
    <mergeCell ref="G237:H237"/>
    <mergeCell ref="G238:H238"/>
    <mergeCell ref="G239:H239"/>
    <mergeCell ref="G240:H240"/>
    <mergeCell ref="G241:H241"/>
    <mergeCell ref="G248:H248"/>
    <mergeCell ref="A249:H249"/>
    <mergeCell ref="A250:H250"/>
    <mergeCell ref="A251:H251"/>
    <mergeCell ref="E257:H257"/>
    <mergeCell ref="A258:A259"/>
    <mergeCell ref="B258:B259"/>
    <mergeCell ref="C258:C259"/>
    <mergeCell ref="D258:D259"/>
    <mergeCell ref="E258:H258"/>
    <mergeCell ref="G264:H264"/>
    <mergeCell ref="G265:H265"/>
    <mergeCell ref="G266:H266"/>
    <mergeCell ref="G267:H267"/>
    <mergeCell ref="G268:H268"/>
    <mergeCell ref="G269:H269"/>
    <mergeCell ref="E259:H259"/>
    <mergeCell ref="A260:H260"/>
    <mergeCell ref="A261:A263"/>
    <mergeCell ref="B261:F261"/>
    <mergeCell ref="G261:H261"/>
    <mergeCell ref="B262:C262"/>
    <mergeCell ref="E262:F262"/>
    <mergeCell ref="G262:H262"/>
    <mergeCell ref="G263:H263"/>
    <mergeCell ref="G276:H276"/>
    <mergeCell ref="G277:H277"/>
    <mergeCell ref="G278:H278"/>
    <mergeCell ref="G279:H279"/>
    <mergeCell ref="G280:H280"/>
    <mergeCell ref="G281:H281"/>
    <mergeCell ref="G270:H270"/>
    <mergeCell ref="G271:H271"/>
    <mergeCell ref="G272:H272"/>
    <mergeCell ref="G273:H273"/>
    <mergeCell ref="G274:H274"/>
    <mergeCell ref="G275:H275"/>
    <mergeCell ref="G282:H282"/>
    <mergeCell ref="A283:H283"/>
    <mergeCell ref="A284:H284"/>
    <mergeCell ref="A285:H285"/>
    <mergeCell ref="E299:H299"/>
    <mergeCell ref="A300:A301"/>
    <mergeCell ref="B300:B301"/>
    <mergeCell ref="C300:C301"/>
    <mergeCell ref="D300:D301"/>
    <mergeCell ref="E300:H300"/>
    <mergeCell ref="G306:H306"/>
    <mergeCell ref="G307:H307"/>
    <mergeCell ref="G308:H308"/>
    <mergeCell ref="G309:H309"/>
    <mergeCell ref="G310:H310"/>
    <mergeCell ref="G311:H311"/>
    <mergeCell ref="E301:H301"/>
    <mergeCell ref="A302:H302"/>
    <mergeCell ref="A303:A305"/>
    <mergeCell ref="B303:F303"/>
    <mergeCell ref="G303:H303"/>
    <mergeCell ref="B304:C304"/>
    <mergeCell ref="E304:F304"/>
    <mergeCell ref="G304:H304"/>
    <mergeCell ref="G305:H305"/>
    <mergeCell ref="G318:H318"/>
    <mergeCell ref="G319:H319"/>
    <mergeCell ref="G320:H320"/>
    <mergeCell ref="G321:H321"/>
    <mergeCell ref="G322:H322"/>
    <mergeCell ref="G323:H323"/>
    <mergeCell ref="G312:H312"/>
    <mergeCell ref="G313:H313"/>
    <mergeCell ref="G314:H314"/>
    <mergeCell ref="G315:H315"/>
    <mergeCell ref="G316:H316"/>
    <mergeCell ref="G317:H317"/>
    <mergeCell ref="G324:H324"/>
    <mergeCell ref="A325:H325"/>
    <mergeCell ref="A326:H326"/>
    <mergeCell ref="A327:H327"/>
    <mergeCell ref="E334:H334"/>
    <mergeCell ref="A335:A336"/>
    <mergeCell ref="B335:B336"/>
    <mergeCell ref="C335:C336"/>
    <mergeCell ref="D335:D336"/>
    <mergeCell ref="E335:H335"/>
    <mergeCell ref="G341:H341"/>
    <mergeCell ref="G342:H342"/>
    <mergeCell ref="G343:H343"/>
    <mergeCell ref="G344:H344"/>
    <mergeCell ref="G345:H345"/>
    <mergeCell ref="G346:H346"/>
    <mergeCell ref="E336:H336"/>
    <mergeCell ref="A337:H337"/>
    <mergeCell ref="A338:A340"/>
    <mergeCell ref="B338:F338"/>
    <mergeCell ref="G338:H338"/>
    <mergeCell ref="B339:C339"/>
    <mergeCell ref="E339:F339"/>
    <mergeCell ref="G339:H339"/>
    <mergeCell ref="G340:H340"/>
    <mergeCell ref="G353:H353"/>
    <mergeCell ref="G354:H354"/>
    <mergeCell ref="G355:H355"/>
    <mergeCell ref="G356:H356"/>
    <mergeCell ref="G357:H357"/>
    <mergeCell ref="G358:H358"/>
    <mergeCell ref="G347:H347"/>
    <mergeCell ref="G348:H348"/>
    <mergeCell ref="G349:H349"/>
    <mergeCell ref="G350:H350"/>
    <mergeCell ref="G351:H351"/>
    <mergeCell ref="G352:H352"/>
    <mergeCell ref="G359:H359"/>
    <mergeCell ref="A360:H360"/>
    <mergeCell ref="A361:H361"/>
    <mergeCell ref="A362:H362"/>
    <mergeCell ref="E370:H370"/>
    <mergeCell ref="A371:A372"/>
    <mergeCell ref="B371:B372"/>
    <mergeCell ref="C371:C372"/>
    <mergeCell ref="D371:D372"/>
    <mergeCell ref="E371:H371"/>
    <mergeCell ref="G377:H377"/>
    <mergeCell ref="G378:H378"/>
    <mergeCell ref="G379:H379"/>
    <mergeCell ref="G380:H380"/>
    <mergeCell ref="G381:H381"/>
    <mergeCell ref="G382:H382"/>
    <mergeCell ref="E372:H372"/>
    <mergeCell ref="A373:H373"/>
    <mergeCell ref="A374:A376"/>
    <mergeCell ref="B374:F374"/>
    <mergeCell ref="G374:H374"/>
    <mergeCell ref="B375:C375"/>
    <mergeCell ref="E375:F375"/>
    <mergeCell ref="G375:H375"/>
    <mergeCell ref="G376:H376"/>
    <mergeCell ref="G389:H389"/>
    <mergeCell ref="G390:H390"/>
    <mergeCell ref="G391:H391"/>
    <mergeCell ref="G392:H392"/>
    <mergeCell ref="G393:H393"/>
    <mergeCell ref="G394:H394"/>
    <mergeCell ref="G383:H383"/>
    <mergeCell ref="G384:H384"/>
    <mergeCell ref="G385:H385"/>
    <mergeCell ref="G386:H386"/>
    <mergeCell ref="G387:H387"/>
    <mergeCell ref="G388:H388"/>
    <mergeCell ref="G395:H395"/>
    <mergeCell ref="A396:H396"/>
    <mergeCell ref="A397:H397"/>
    <mergeCell ref="A398:H398"/>
    <mergeCell ref="E412:H412"/>
    <mergeCell ref="A413:A414"/>
    <mergeCell ref="B413:B414"/>
    <mergeCell ref="C413:C414"/>
    <mergeCell ref="D413:D414"/>
    <mergeCell ref="E413:H413"/>
    <mergeCell ref="E414:H414"/>
    <mergeCell ref="A415:H415"/>
    <mergeCell ref="A416:A418"/>
    <mergeCell ref="B416:F416"/>
    <mergeCell ref="G416:H416"/>
    <mergeCell ref="B417:C417"/>
    <mergeCell ref="E417:F417"/>
    <mergeCell ref="G417:H417"/>
    <mergeCell ref="G418:H418"/>
    <mergeCell ref="G425:H425"/>
    <mergeCell ref="G426:H426"/>
    <mergeCell ref="G427:H427"/>
    <mergeCell ref="G428:H428"/>
    <mergeCell ref="G429:H429"/>
    <mergeCell ref="G430:H430"/>
    <mergeCell ref="G419:H419"/>
    <mergeCell ref="G420:H420"/>
    <mergeCell ref="G421:H421"/>
    <mergeCell ref="G422:H422"/>
    <mergeCell ref="G423:H423"/>
    <mergeCell ref="G424:H424"/>
    <mergeCell ref="G437:H437"/>
    <mergeCell ref="A438:H438"/>
    <mergeCell ref="A439:H439"/>
    <mergeCell ref="A440:H440"/>
    <mergeCell ref="G431:H431"/>
    <mergeCell ref="G432:H432"/>
    <mergeCell ref="G433:H433"/>
    <mergeCell ref="G434:H434"/>
    <mergeCell ref="G435:H435"/>
    <mergeCell ref="G436:H436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8"/>
  <sheetViews>
    <sheetView topLeftCell="A382" zoomScale="77" zoomScaleNormal="77" workbookViewId="0">
      <selection activeCell="E450" sqref="E450"/>
    </sheetView>
  </sheetViews>
  <sheetFormatPr defaultRowHeight="15" x14ac:dyDescent="0.25"/>
  <cols>
    <col min="1" max="1" width="35.42578125" customWidth="1"/>
    <col min="2" max="2" width="24.85546875" style="10" customWidth="1"/>
    <col min="3" max="3" width="13.85546875" style="10" customWidth="1"/>
    <col min="4" max="4" width="13.42578125" style="10" customWidth="1"/>
    <col min="5" max="5" width="17.28515625" style="10" customWidth="1"/>
    <col min="6" max="6" width="10" style="10" customWidth="1"/>
    <col min="7" max="7" width="12.7109375" style="10" customWidth="1"/>
    <col min="8" max="8" width="8.140625" style="10" customWidth="1"/>
    <col min="11" max="11" width="13.85546875" bestFit="1" customWidth="1"/>
  </cols>
  <sheetData>
    <row r="2" spans="1:9" x14ac:dyDescent="0.25">
      <c r="A2" s="22"/>
      <c r="B2" s="23"/>
      <c r="C2" s="23"/>
      <c r="D2" s="23"/>
      <c r="E2" s="112" t="s">
        <v>29</v>
      </c>
      <c r="F2" s="112"/>
      <c r="G2" s="112"/>
      <c r="H2" s="112"/>
    </row>
    <row r="3" spans="1:9" x14ac:dyDescent="0.25">
      <c r="A3" s="113"/>
      <c r="B3" s="114"/>
      <c r="C3" s="114"/>
      <c r="D3" s="115"/>
      <c r="E3" s="115" t="s">
        <v>0</v>
      </c>
      <c r="F3" s="115"/>
      <c r="G3" s="115"/>
      <c r="H3" s="115"/>
    </row>
    <row r="4" spans="1:9" x14ac:dyDescent="0.25">
      <c r="A4" s="113"/>
      <c r="B4" s="114"/>
      <c r="C4" s="114"/>
      <c r="D4" s="115"/>
      <c r="E4" s="128" t="s">
        <v>31</v>
      </c>
      <c r="F4" s="115"/>
      <c r="G4" s="115"/>
      <c r="H4" s="115"/>
    </row>
    <row r="5" spans="1:9" ht="15.75" thickBot="1" x14ac:dyDescent="0.3">
      <c r="A5" s="98" t="s">
        <v>96</v>
      </c>
      <c r="B5" s="98"/>
      <c r="C5" s="98"/>
      <c r="D5" s="98"/>
      <c r="E5" s="98"/>
      <c r="F5" s="98"/>
      <c r="G5" s="98"/>
      <c r="H5" s="98"/>
    </row>
    <row r="6" spans="1:9" x14ac:dyDescent="0.25">
      <c r="A6" s="100" t="s">
        <v>2</v>
      </c>
      <c r="B6" s="103" t="s">
        <v>30</v>
      </c>
      <c r="C6" s="104"/>
      <c r="D6" s="104"/>
      <c r="E6" s="104"/>
      <c r="F6" s="104"/>
      <c r="G6" s="105" t="s">
        <v>3</v>
      </c>
      <c r="H6" s="106"/>
    </row>
    <row r="7" spans="1:9" ht="126.75" customHeight="1" thickBot="1" x14ac:dyDescent="0.3">
      <c r="A7" s="124"/>
      <c r="B7" s="105" t="s">
        <v>30</v>
      </c>
      <c r="C7" s="105"/>
      <c r="D7" s="15" t="s">
        <v>32</v>
      </c>
      <c r="E7" s="105" t="s">
        <v>4</v>
      </c>
      <c r="F7" s="105"/>
      <c r="G7" s="125"/>
      <c r="H7" s="109"/>
    </row>
    <row r="8" spans="1:9" ht="165.75" thickBot="1" x14ac:dyDescent="0.3">
      <c r="A8" s="102"/>
      <c r="B8" s="14" t="s">
        <v>36</v>
      </c>
      <c r="C8" s="25" t="s">
        <v>5</v>
      </c>
      <c r="D8" s="15" t="s">
        <v>33</v>
      </c>
      <c r="E8" s="25" t="s">
        <v>34</v>
      </c>
      <c r="F8" s="7" t="s">
        <v>35</v>
      </c>
      <c r="G8" s="110"/>
      <c r="H8" s="111"/>
    </row>
    <row r="9" spans="1:9" ht="15.75" thickBot="1" x14ac:dyDescent="0.3">
      <c r="A9" s="24">
        <v>1</v>
      </c>
      <c r="B9" s="7">
        <v>2</v>
      </c>
      <c r="C9" s="11">
        <v>3</v>
      </c>
      <c r="D9" s="7">
        <v>4</v>
      </c>
      <c r="E9" s="11">
        <v>5</v>
      </c>
      <c r="F9" s="7">
        <v>6</v>
      </c>
      <c r="G9" s="96" t="s">
        <v>6</v>
      </c>
      <c r="H9" s="97"/>
    </row>
    <row r="10" spans="1:9" ht="57.75" customHeight="1" thickBot="1" x14ac:dyDescent="0.3">
      <c r="A10" s="2" t="s">
        <v>7</v>
      </c>
      <c r="B10" s="6">
        <f>B11</f>
        <v>10629.85</v>
      </c>
      <c r="C10" s="12"/>
      <c r="D10" s="6">
        <f>D11</f>
        <v>3175.1499999999996</v>
      </c>
      <c r="E10" s="8" t="s">
        <v>8</v>
      </c>
      <c r="F10" s="8" t="s">
        <v>8</v>
      </c>
      <c r="G10" s="90">
        <f>13853-82+34</f>
        <v>13805</v>
      </c>
      <c r="H10" s="91"/>
    </row>
    <row r="11" spans="1:9" ht="15.75" thickBot="1" x14ac:dyDescent="0.3">
      <c r="A11" s="3" t="s">
        <v>9</v>
      </c>
      <c r="B11" s="6">
        <f>G11*77%</f>
        <v>10629.85</v>
      </c>
      <c r="C11" s="12"/>
      <c r="D11" s="26">
        <f>G11-B11</f>
        <v>3175.1499999999996</v>
      </c>
      <c r="E11" s="8" t="s">
        <v>8</v>
      </c>
      <c r="F11" s="8" t="s">
        <v>8</v>
      </c>
      <c r="G11" s="90">
        <f>G10</f>
        <v>13805</v>
      </c>
      <c r="H11" s="91"/>
    </row>
    <row r="12" spans="1:9" ht="15.75" thickBot="1" x14ac:dyDescent="0.3">
      <c r="A12" s="2" t="s">
        <v>10</v>
      </c>
      <c r="B12" s="6">
        <v>0</v>
      </c>
      <c r="C12" s="12"/>
      <c r="D12" s="6">
        <v>0</v>
      </c>
      <c r="E12" s="8" t="s">
        <v>8</v>
      </c>
      <c r="F12" s="8" t="s">
        <v>8</v>
      </c>
      <c r="G12" s="90">
        <v>0</v>
      </c>
      <c r="H12" s="91"/>
    </row>
    <row r="13" spans="1:9" ht="60.75" thickBot="1" x14ac:dyDescent="0.3">
      <c r="A13" s="2" t="s">
        <v>11</v>
      </c>
      <c r="B13" s="6">
        <f t="shared" ref="B13" si="0">G13*77%</f>
        <v>4165.7</v>
      </c>
      <c r="C13" s="12"/>
      <c r="D13" s="26">
        <f>G13-B13</f>
        <v>1244.3000000000002</v>
      </c>
      <c r="E13" s="8" t="s">
        <v>8</v>
      </c>
      <c r="F13" s="8" t="s">
        <v>8</v>
      </c>
      <c r="G13" s="90">
        <f>5444-34</f>
        <v>5410</v>
      </c>
      <c r="H13" s="91"/>
    </row>
    <row r="14" spans="1:9" ht="30.75" thickBot="1" x14ac:dyDescent="0.3">
      <c r="A14" s="2" t="s">
        <v>12</v>
      </c>
      <c r="B14" s="6">
        <f>G14*77%</f>
        <v>89.320000000000007</v>
      </c>
      <c r="C14" s="12"/>
      <c r="D14" s="26">
        <f>G14-B14</f>
        <v>26.679999999999993</v>
      </c>
      <c r="E14" s="8" t="s">
        <v>8</v>
      </c>
      <c r="F14" s="8" t="s">
        <v>8</v>
      </c>
      <c r="G14" s="90">
        <f>34+82</f>
        <v>116</v>
      </c>
      <c r="H14" s="91"/>
      <c r="I14" s="10">
        <f>G14+G13+G11</f>
        <v>19331</v>
      </c>
    </row>
    <row r="15" spans="1:9" ht="15.75" thickBot="1" x14ac:dyDescent="0.3">
      <c r="A15" s="2" t="s">
        <v>13</v>
      </c>
      <c r="B15" s="6">
        <f>G15*56%</f>
        <v>798.56000000000006</v>
      </c>
      <c r="C15" s="6"/>
      <c r="D15" s="26">
        <f>G15-B15</f>
        <v>627.43999999999994</v>
      </c>
      <c r="E15" s="8" t="s">
        <v>8</v>
      </c>
      <c r="F15" s="8" t="s">
        <v>8</v>
      </c>
      <c r="G15" s="90">
        <v>1426</v>
      </c>
      <c r="H15" s="91"/>
    </row>
    <row r="16" spans="1:9" ht="30.75" thickBot="1" x14ac:dyDescent="0.3">
      <c r="A16" s="2" t="s">
        <v>14</v>
      </c>
      <c r="B16" s="6">
        <f>G16*56%</f>
        <v>348.32000000000005</v>
      </c>
      <c r="C16" s="6"/>
      <c r="D16" s="26">
        <f>G16-B16</f>
        <v>273.67999999999995</v>
      </c>
      <c r="E16" s="8" t="s">
        <v>8</v>
      </c>
      <c r="F16" s="8" t="s">
        <v>8</v>
      </c>
      <c r="G16" s="90">
        <f>225+397</f>
        <v>622</v>
      </c>
      <c r="H16" s="91"/>
    </row>
    <row r="17" spans="1:11" ht="45.75" thickBot="1" x14ac:dyDescent="0.3">
      <c r="A17" s="2" t="s">
        <v>15</v>
      </c>
      <c r="B17" s="8" t="s">
        <v>8</v>
      </c>
      <c r="C17" s="8" t="s">
        <v>8</v>
      </c>
      <c r="D17" s="6"/>
      <c r="E17" s="8" t="s">
        <v>8</v>
      </c>
      <c r="F17" s="8" t="s">
        <v>8</v>
      </c>
      <c r="G17" s="90"/>
      <c r="H17" s="91"/>
    </row>
    <row r="18" spans="1:11" ht="15.75" thickBot="1" x14ac:dyDescent="0.3">
      <c r="A18" s="2" t="s">
        <v>16</v>
      </c>
      <c r="B18" s="8" t="s">
        <v>8</v>
      </c>
      <c r="C18" s="8" t="s">
        <v>8</v>
      </c>
      <c r="D18" s="12"/>
      <c r="E18" s="6"/>
      <c r="F18" s="6"/>
      <c r="G18" s="90"/>
      <c r="H18" s="91"/>
    </row>
    <row r="19" spans="1:11" ht="15.75" thickBot="1" x14ac:dyDescent="0.3">
      <c r="A19" s="3" t="s">
        <v>17</v>
      </c>
      <c r="B19" s="6">
        <f>G19*56%</f>
        <v>0</v>
      </c>
      <c r="C19" s="8"/>
      <c r="D19" s="6"/>
      <c r="E19" s="6">
        <f>G19-B19</f>
        <v>0</v>
      </c>
      <c r="F19" s="6"/>
      <c r="G19" s="90">
        <v>0</v>
      </c>
      <c r="H19" s="91"/>
    </row>
    <row r="20" spans="1:11" ht="15.75" thickBot="1" x14ac:dyDescent="0.3">
      <c r="A20" s="3" t="s">
        <v>18</v>
      </c>
      <c r="B20" s="6"/>
      <c r="C20" s="8"/>
      <c r="D20" s="8"/>
      <c r="E20" s="6"/>
      <c r="F20" s="6"/>
      <c r="G20" s="90"/>
      <c r="H20" s="91"/>
    </row>
    <row r="21" spans="1:11" ht="45.75" thickBot="1" x14ac:dyDescent="0.3">
      <c r="A21" s="2" t="s">
        <v>19</v>
      </c>
      <c r="B21" s="6"/>
      <c r="C21" s="8"/>
      <c r="D21" s="6"/>
      <c r="E21" s="6"/>
      <c r="F21" s="6"/>
      <c r="G21" s="94"/>
      <c r="H21" s="95"/>
    </row>
    <row r="22" spans="1:11" ht="30.75" thickBot="1" x14ac:dyDescent="0.3">
      <c r="A22" s="2" t="s">
        <v>20</v>
      </c>
      <c r="B22" s="6"/>
      <c r="C22" s="8"/>
      <c r="D22" s="6"/>
      <c r="E22" s="6">
        <v>3143</v>
      </c>
      <c r="F22" s="6"/>
      <c r="G22" s="90">
        <v>3143</v>
      </c>
      <c r="H22" s="91"/>
    </row>
    <row r="23" spans="1:11" ht="30.75" thickBot="1" x14ac:dyDescent="0.3">
      <c r="A23" s="2" t="s">
        <v>21</v>
      </c>
      <c r="B23" s="6">
        <f>G23*56%</f>
        <v>2448.88</v>
      </c>
      <c r="C23" s="6"/>
      <c r="D23" s="26">
        <f>G23-B23</f>
        <v>1924.12</v>
      </c>
      <c r="E23" s="8" t="s">
        <v>8</v>
      </c>
      <c r="F23" s="8" t="s">
        <v>8</v>
      </c>
      <c r="G23" s="90">
        <v>4373</v>
      </c>
      <c r="H23" s="91"/>
    </row>
    <row r="24" spans="1:11" ht="15.75" thickBot="1" x14ac:dyDescent="0.3">
      <c r="A24" s="3" t="s">
        <v>22</v>
      </c>
      <c r="B24" s="6">
        <f>G24*56%</f>
        <v>1700.7200000000003</v>
      </c>
      <c r="C24" s="6"/>
      <c r="D24" s="31">
        <f>G24-B24</f>
        <v>1336.2799999999997</v>
      </c>
      <c r="E24" s="8" t="s">
        <v>8</v>
      </c>
      <c r="F24" s="8" t="s">
        <v>8</v>
      </c>
      <c r="G24" s="90">
        <v>3037</v>
      </c>
      <c r="H24" s="91"/>
    </row>
    <row r="25" spans="1:11" ht="15.75" thickBot="1" x14ac:dyDescent="0.3">
      <c r="A25" s="3" t="s">
        <v>23</v>
      </c>
      <c r="B25" s="8" t="s">
        <v>8</v>
      </c>
      <c r="C25" s="12"/>
      <c r="D25" s="8" t="s">
        <v>8</v>
      </c>
      <c r="E25" s="8" t="s">
        <v>8</v>
      </c>
      <c r="F25" s="8" t="s">
        <v>8</v>
      </c>
      <c r="G25" s="94"/>
      <c r="H25" s="95"/>
    </row>
    <row r="26" spans="1:11" ht="15.75" thickBot="1" x14ac:dyDescent="0.3">
      <c r="A26" s="3" t="s">
        <v>24</v>
      </c>
      <c r="B26" s="6"/>
      <c r="C26" s="6"/>
      <c r="D26" s="6"/>
      <c r="E26" s="8" t="s">
        <v>8</v>
      </c>
      <c r="F26" s="8" t="s">
        <v>8</v>
      </c>
      <c r="G26" s="90"/>
      <c r="H26" s="91"/>
    </row>
    <row r="27" spans="1:11" ht="15.75" thickBot="1" x14ac:dyDescent="0.3">
      <c r="A27" s="4" t="s">
        <v>25</v>
      </c>
      <c r="B27" s="6">
        <f>SUM(B11:B26)</f>
        <v>20181.349999999999</v>
      </c>
      <c r="C27" s="6"/>
      <c r="D27" s="6">
        <f>SUM(D11:D26)</f>
        <v>8607.65</v>
      </c>
      <c r="E27" s="6">
        <f>SUM(E11:E26)</f>
        <v>3143</v>
      </c>
      <c r="F27" s="6"/>
      <c r="G27" s="90">
        <f>SUM(G11:H26)</f>
        <v>31932</v>
      </c>
      <c r="H27" s="91"/>
    </row>
    <row r="28" spans="1:11" x14ac:dyDescent="0.25">
      <c r="A28" s="92" t="s">
        <v>26</v>
      </c>
      <c r="B28" s="92"/>
      <c r="C28" s="92"/>
      <c r="D28" s="92"/>
      <c r="E28" s="92"/>
      <c r="F28" s="92"/>
      <c r="G28" s="92"/>
      <c r="H28" s="92"/>
    </row>
    <row r="29" spans="1:11" x14ac:dyDescent="0.25">
      <c r="A29" s="93" t="s">
        <v>27</v>
      </c>
      <c r="B29" s="93"/>
      <c r="C29" s="93"/>
      <c r="D29" s="93"/>
      <c r="E29" s="93"/>
      <c r="F29" s="93"/>
      <c r="G29" s="93"/>
      <c r="H29" s="93"/>
    </row>
    <row r="30" spans="1:11" x14ac:dyDescent="0.25">
      <c r="A30" s="93" t="s">
        <v>28</v>
      </c>
      <c r="B30" s="93"/>
      <c r="C30" s="93"/>
      <c r="D30" s="93"/>
      <c r="E30" s="93"/>
      <c r="F30" s="93"/>
      <c r="G30" s="93"/>
      <c r="H30" s="93"/>
      <c r="K30" s="10" t="e">
        <f>G124-G119</f>
        <v>#VALUE!</v>
      </c>
    </row>
    <row r="31" spans="1:11" x14ac:dyDescent="0.25">
      <c r="K31" s="10" t="e">
        <f>K30-244898</f>
        <v>#VALUE!</v>
      </c>
    </row>
    <row r="32" spans="1:11" x14ac:dyDescent="0.25">
      <c r="B32" s="10" t="s">
        <v>93</v>
      </c>
      <c r="C32" s="10">
        <v>19511</v>
      </c>
    </row>
    <row r="33" spans="1:8" x14ac:dyDescent="0.25">
      <c r="C33" s="10">
        <f>C32-B27</f>
        <v>-670.34999999999854</v>
      </c>
    </row>
    <row r="38" spans="1:8" x14ac:dyDescent="0.25">
      <c r="A38" s="22"/>
      <c r="B38" s="23"/>
      <c r="C38" s="23"/>
      <c r="D38" s="23"/>
      <c r="E38" s="112" t="s">
        <v>29</v>
      </c>
      <c r="F38" s="112"/>
      <c r="G38" s="112"/>
      <c r="H38" s="112"/>
    </row>
    <row r="39" spans="1:8" x14ac:dyDescent="0.25">
      <c r="A39" s="113"/>
      <c r="B39" s="114"/>
      <c r="C39" s="114"/>
      <c r="D39" s="115"/>
      <c r="E39" s="115" t="s">
        <v>0</v>
      </c>
      <c r="F39" s="115"/>
      <c r="G39" s="115"/>
      <c r="H39" s="115"/>
    </row>
    <row r="40" spans="1:8" x14ac:dyDescent="0.25">
      <c r="A40" s="113"/>
      <c r="B40" s="114"/>
      <c r="C40" s="114"/>
      <c r="D40" s="115"/>
      <c r="E40" s="128" t="s">
        <v>31</v>
      </c>
      <c r="F40" s="115"/>
      <c r="G40" s="115"/>
      <c r="H40" s="115"/>
    </row>
    <row r="41" spans="1:8" ht="15.75" thickBot="1" x14ac:dyDescent="0.3">
      <c r="A41" s="98" t="s">
        <v>97</v>
      </c>
      <c r="B41" s="98"/>
      <c r="C41" s="98"/>
      <c r="D41" s="98"/>
      <c r="E41" s="98"/>
      <c r="F41" s="98"/>
      <c r="G41" s="98"/>
      <c r="H41" s="98"/>
    </row>
    <row r="42" spans="1:8" x14ac:dyDescent="0.25">
      <c r="A42" s="100" t="s">
        <v>2</v>
      </c>
      <c r="B42" s="103" t="s">
        <v>30</v>
      </c>
      <c r="C42" s="104"/>
      <c r="D42" s="104"/>
      <c r="E42" s="104"/>
      <c r="F42" s="104"/>
      <c r="G42" s="105" t="s">
        <v>3</v>
      </c>
      <c r="H42" s="106"/>
    </row>
    <row r="43" spans="1:8" ht="126.75" customHeight="1" thickBot="1" x14ac:dyDescent="0.3">
      <c r="A43" s="124"/>
      <c r="B43" s="105" t="s">
        <v>30</v>
      </c>
      <c r="C43" s="105"/>
      <c r="D43" s="15" t="s">
        <v>32</v>
      </c>
      <c r="E43" s="105" t="s">
        <v>4</v>
      </c>
      <c r="F43" s="105"/>
      <c r="G43" s="125"/>
      <c r="H43" s="109"/>
    </row>
    <row r="44" spans="1:8" ht="165.75" thickBot="1" x14ac:dyDescent="0.3">
      <c r="A44" s="102"/>
      <c r="B44" s="14" t="s">
        <v>36</v>
      </c>
      <c r="C44" s="25" t="s">
        <v>5</v>
      </c>
      <c r="D44" s="15" t="s">
        <v>33</v>
      </c>
      <c r="E44" s="25" t="s">
        <v>34</v>
      </c>
      <c r="F44" s="7" t="s">
        <v>35</v>
      </c>
      <c r="G44" s="110"/>
      <c r="H44" s="111"/>
    </row>
    <row r="45" spans="1:8" ht="15.75" thickBot="1" x14ac:dyDescent="0.3">
      <c r="A45" s="24">
        <v>1</v>
      </c>
      <c r="B45" s="7">
        <v>2</v>
      </c>
      <c r="C45" s="11">
        <v>3</v>
      </c>
      <c r="D45" s="7">
        <v>4</v>
      </c>
      <c r="E45" s="11">
        <v>5</v>
      </c>
      <c r="F45" s="7">
        <v>6</v>
      </c>
      <c r="G45" s="96" t="s">
        <v>6</v>
      </c>
      <c r="H45" s="97"/>
    </row>
    <row r="46" spans="1:8" ht="57.75" customHeight="1" thickBot="1" x14ac:dyDescent="0.3">
      <c r="A46" s="2" t="s">
        <v>7</v>
      </c>
      <c r="B46" s="6">
        <f>B47</f>
        <v>21538.44</v>
      </c>
      <c r="C46" s="12"/>
      <c r="D46" s="6">
        <f>D47</f>
        <v>6433.5600000000013</v>
      </c>
      <c r="E46" s="8" t="s">
        <v>8</v>
      </c>
      <c r="F46" s="8" t="s">
        <v>8</v>
      </c>
      <c r="G46" s="90">
        <f>28061-155+66</f>
        <v>27972</v>
      </c>
      <c r="H46" s="91"/>
    </row>
    <row r="47" spans="1:8" ht="15.75" thickBot="1" x14ac:dyDescent="0.3">
      <c r="A47" s="3" t="s">
        <v>9</v>
      </c>
      <c r="B47" s="6">
        <f>G47*77%</f>
        <v>21538.44</v>
      </c>
      <c r="C47" s="12"/>
      <c r="D47" s="26">
        <f>G47-B47</f>
        <v>6433.5600000000013</v>
      </c>
      <c r="E47" s="8" t="s">
        <v>8</v>
      </c>
      <c r="F47" s="8" t="s">
        <v>8</v>
      </c>
      <c r="G47" s="90">
        <f>G46</f>
        <v>27972</v>
      </c>
      <c r="H47" s="91"/>
    </row>
    <row r="48" spans="1:8" ht="15.75" thickBot="1" x14ac:dyDescent="0.3">
      <c r="A48" s="2" t="s">
        <v>10</v>
      </c>
      <c r="B48" s="6">
        <v>0</v>
      </c>
      <c r="C48" s="12"/>
      <c r="D48" s="6">
        <v>0</v>
      </c>
      <c r="E48" s="8" t="s">
        <v>8</v>
      </c>
      <c r="F48" s="8" t="s">
        <v>8</v>
      </c>
      <c r="G48" s="90">
        <v>0</v>
      </c>
      <c r="H48" s="91"/>
    </row>
    <row r="49" spans="1:9" ht="60.75" thickBot="1" x14ac:dyDescent="0.3">
      <c r="A49" s="2" t="s">
        <v>11</v>
      </c>
      <c r="B49" s="6">
        <f t="shared" ref="B49" si="1">G49*77%</f>
        <v>8372.98</v>
      </c>
      <c r="C49" s="12"/>
      <c r="D49" s="26">
        <f>G49-B49</f>
        <v>2501.0200000000004</v>
      </c>
      <c r="E49" s="8" t="s">
        <v>8</v>
      </c>
      <c r="F49" s="8" t="s">
        <v>8</v>
      </c>
      <c r="G49" s="90">
        <f>10935-61</f>
        <v>10874</v>
      </c>
      <c r="H49" s="91"/>
    </row>
    <row r="50" spans="1:9" ht="30.75" thickBot="1" x14ac:dyDescent="0.3">
      <c r="A50" s="2" t="s">
        <v>12</v>
      </c>
      <c r="B50" s="6">
        <f>G50*77%</f>
        <v>166.32</v>
      </c>
      <c r="C50" s="12"/>
      <c r="D50" s="26">
        <f>G50-B50</f>
        <v>49.680000000000007</v>
      </c>
      <c r="E50" s="8" t="s">
        <v>8</v>
      </c>
      <c r="F50" s="8" t="s">
        <v>8</v>
      </c>
      <c r="G50" s="90">
        <f>155+61</f>
        <v>216</v>
      </c>
      <c r="H50" s="91"/>
      <c r="I50" s="10">
        <f>G50+G49+G47</f>
        <v>39062</v>
      </c>
    </row>
    <row r="51" spans="1:9" ht="15.75" thickBot="1" x14ac:dyDescent="0.3">
      <c r="A51" s="2" t="s">
        <v>13</v>
      </c>
      <c r="B51" s="6">
        <f>G51*56%</f>
        <v>1368.64</v>
      </c>
      <c r="C51" s="6"/>
      <c r="D51" s="26">
        <f>G51-B51</f>
        <v>1075.3599999999999</v>
      </c>
      <c r="E51" s="8" t="s">
        <v>8</v>
      </c>
      <c r="F51" s="8" t="s">
        <v>8</v>
      </c>
      <c r="G51" s="90">
        <v>2444</v>
      </c>
      <c r="H51" s="91"/>
    </row>
    <row r="52" spans="1:9" ht="30.75" thickBot="1" x14ac:dyDescent="0.3">
      <c r="A52" s="2" t="s">
        <v>14</v>
      </c>
      <c r="B52" s="6">
        <f>G52*56%</f>
        <v>759.36000000000013</v>
      </c>
      <c r="C52" s="6"/>
      <c r="D52" s="26">
        <f>G52-B52</f>
        <v>596.63999999999987</v>
      </c>
      <c r="E52" s="8" t="s">
        <v>8</v>
      </c>
      <c r="F52" s="8" t="s">
        <v>8</v>
      </c>
      <c r="G52" s="90">
        <f>260+1096</f>
        <v>1356</v>
      </c>
      <c r="H52" s="91"/>
    </row>
    <row r="53" spans="1:9" ht="45.75" thickBot="1" x14ac:dyDescent="0.3">
      <c r="A53" s="2" t="s">
        <v>15</v>
      </c>
      <c r="B53" s="8" t="s">
        <v>8</v>
      </c>
      <c r="C53" s="8" t="s">
        <v>8</v>
      </c>
      <c r="D53" s="6"/>
      <c r="E53" s="8" t="s">
        <v>8</v>
      </c>
      <c r="F53" s="8" t="s">
        <v>8</v>
      </c>
      <c r="G53" s="90"/>
      <c r="H53" s="91"/>
    </row>
    <row r="54" spans="1:9" ht="15.75" thickBot="1" x14ac:dyDescent="0.3">
      <c r="A54" s="2" t="s">
        <v>16</v>
      </c>
      <c r="B54" s="8" t="s">
        <v>8</v>
      </c>
      <c r="C54" s="8" t="s">
        <v>8</v>
      </c>
      <c r="D54" s="12"/>
      <c r="E54" s="6"/>
      <c r="F54" s="6"/>
      <c r="G54" s="90"/>
      <c r="H54" s="91"/>
    </row>
    <row r="55" spans="1:9" ht="15.75" thickBot="1" x14ac:dyDescent="0.3">
      <c r="A55" s="3" t="s">
        <v>17</v>
      </c>
      <c r="B55" s="6">
        <f>G55*56%</f>
        <v>0</v>
      </c>
      <c r="C55" s="8"/>
      <c r="D55" s="6"/>
      <c r="E55" s="6">
        <f>G55-B55</f>
        <v>0</v>
      </c>
      <c r="F55" s="6"/>
      <c r="G55" s="90">
        <v>0</v>
      </c>
      <c r="H55" s="91"/>
    </row>
    <row r="56" spans="1:9" ht="15.75" thickBot="1" x14ac:dyDescent="0.3">
      <c r="A56" s="3" t="s">
        <v>18</v>
      </c>
      <c r="B56" s="6"/>
      <c r="C56" s="8"/>
      <c r="D56" s="8"/>
      <c r="E56" s="6"/>
      <c r="F56" s="6"/>
      <c r="G56" s="90"/>
      <c r="H56" s="91"/>
    </row>
    <row r="57" spans="1:9" ht="45.75" thickBot="1" x14ac:dyDescent="0.3">
      <c r="A57" s="2" t="s">
        <v>19</v>
      </c>
      <c r="B57" s="6"/>
      <c r="C57" s="8"/>
      <c r="D57" s="6"/>
      <c r="E57" s="6"/>
      <c r="F57" s="6"/>
      <c r="G57" s="94"/>
      <c r="H57" s="95"/>
    </row>
    <row r="58" spans="1:9" ht="30.75" thickBot="1" x14ac:dyDescent="0.3">
      <c r="A58" s="2" t="s">
        <v>20</v>
      </c>
      <c r="B58" s="6"/>
      <c r="C58" s="8"/>
      <c r="D58" s="6"/>
      <c r="E58" s="6">
        <v>6286</v>
      </c>
      <c r="F58" s="6"/>
      <c r="G58" s="90">
        <v>6286</v>
      </c>
      <c r="H58" s="91"/>
    </row>
    <row r="59" spans="1:9" ht="30.75" thickBot="1" x14ac:dyDescent="0.3">
      <c r="A59" s="2" t="s">
        <v>21</v>
      </c>
      <c r="B59" s="6">
        <f>G59*56%</f>
        <v>4113.76</v>
      </c>
      <c r="C59" s="6"/>
      <c r="D59" s="26">
        <f>G59-B59</f>
        <v>3232.24</v>
      </c>
      <c r="E59" s="8" t="s">
        <v>8</v>
      </c>
      <c r="F59" s="8" t="s">
        <v>8</v>
      </c>
      <c r="G59" s="90">
        <f>7162+184</f>
        <v>7346</v>
      </c>
      <c r="H59" s="91"/>
    </row>
    <row r="60" spans="1:9" ht="15.75" thickBot="1" x14ac:dyDescent="0.3">
      <c r="A60" s="3" t="s">
        <v>22</v>
      </c>
      <c r="B60" s="6">
        <f>G60*56%</f>
        <v>2494.2400000000002</v>
      </c>
      <c r="C60" s="6"/>
      <c r="D60" s="31">
        <f>G60-B60</f>
        <v>1959.7599999999998</v>
      </c>
      <c r="E60" s="8" t="s">
        <v>8</v>
      </c>
      <c r="F60" s="8" t="s">
        <v>8</v>
      </c>
      <c r="G60" s="90">
        <f>1324+3130</f>
        <v>4454</v>
      </c>
      <c r="H60" s="91"/>
    </row>
    <row r="61" spans="1:9" ht="15.75" thickBot="1" x14ac:dyDescent="0.3">
      <c r="A61" s="3" t="s">
        <v>23</v>
      </c>
      <c r="B61" s="8" t="s">
        <v>8</v>
      </c>
      <c r="C61" s="12"/>
      <c r="D61" s="8" t="s">
        <v>8</v>
      </c>
      <c r="E61" s="8" t="s">
        <v>8</v>
      </c>
      <c r="F61" s="8" t="s">
        <v>8</v>
      </c>
      <c r="G61" s="94"/>
      <c r="H61" s="95"/>
    </row>
    <row r="62" spans="1:9" ht="15.75" thickBot="1" x14ac:dyDescent="0.3">
      <c r="A62" s="3" t="s">
        <v>24</v>
      </c>
      <c r="B62" s="6"/>
      <c r="C62" s="6"/>
      <c r="D62" s="6"/>
      <c r="E62" s="8" t="s">
        <v>8</v>
      </c>
      <c r="F62" s="8" t="s">
        <v>8</v>
      </c>
      <c r="G62" s="90"/>
      <c r="H62" s="91"/>
    </row>
    <row r="63" spans="1:9" ht="15.75" thickBot="1" x14ac:dyDescent="0.3">
      <c r="A63" s="4" t="s">
        <v>25</v>
      </c>
      <c r="B63" s="6">
        <f>SUM(B47:B62)</f>
        <v>38813.74</v>
      </c>
      <c r="C63" s="6"/>
      <c r="D63" s="6">
        <f>SUM(D47:D62)</f>
        <v>15848.260000000002</v>
      </c>
      <c r="E63" s="6">
        <f>SUM(E47:E62)</f>
        <v>6286</v>
      </c>
      <c r="F63" s="6"/>
      <c r="G63" s="90">
        <f>SUM(G47:H62)</f>
        <v>60948</v>
      </c>
      <c r="H63" s="91"/>
    </row>
    <row r="64" spans="1:9" x14ac:dyDescent="0.25">
      <c r="A64" s="92" t="s">
        <v>26</v>
      </c>
      <c r="B64" s="92"/>
      <c r="C64" s="92"/>
      <c r="D64" s="92"/>
      <c r="E64" s="92"/>
      <c r="F64" s="92"/>
      <c r="G64" s="92"/>
      <c r="H64" s="92"/>
    </row>
    <row r="65" spans="1:11" x14ac:dyDescent="0.25">
      <c r="A65" s="93" t="s">
        <v>27</v>
      </c>
      <c r="B65" s="93"/>
      <c r="C65" s="93"/>
      <c r="D65" s="93"/>
      <c r="E65" s="93"/>
      <c r="F65" s="93"/>
      <c r="G65" s="93"/>
      <c r="H65" s="93"/>
    </row>
    <row r="66" spans="1:11" x14ac:dyDescent="0.25">
      <c r="A66" s="93" t="s">
        <v>28</v>
      </c>
      <c r="B66" s="93"/>
      <c r="C66" s="93"/>
      <c r="D66" s="93"/>
      <c r="E66" s="93"/>
      <c r="F66" s="93"/>
      <c r="G66" s="93"/>
      <c r="H66" s="93"/>
      <c r="K66" s="10">
        <f>G307-G302</f>
        <v>117223</v>
      </c>
    </row>
    <row r="67" spans="1:11" x14ac:dyDescent="0.25">
      <c r="K67" s="10">
        <f>K66-244898</f>
        <v>-127675</v>
      </c>
    </row>
    <row r="68" spans="1:11" x14ac:dyDescent="0.25">
      <c r="B68" s="10" t="s">
        <v>94</v>
      </c>
      <c r="C68" s="10">
        <v>38152</v>
      </c>
    </row>
    <row r="69" spans="1:11" x14ac:dyDescent="0.25">
      <c r="C69" s="10">
        <f>C68-B63</f>
        <v>-661.73999999999796</v>
      </c>
    </row>
    <row r="76" spans="1:11" x14ac:dyDescent="0.25">
      <c r="A76" s="22"/>
      <c r="B76" s="23"/>
      <c r="C76" s="23"/>
      <c r="D76" s="23"/>
      <c r="E76" s="112" t="s">
        <v>29</v>
      </c>
      <c r="F76" s="112"/>
      <c r="G76" s="112"/>
      <c r="H76" s="112"/>
    </row>
    <row r="77" spans="1:11" x14ac:dyDescent="0.25">
      <c r="A77" s="113"/>
      <c r="B77" s="114"/>
      <c r="C77" s="114"/>
      <c r="D77" s="115"/>
      <c r="E77" s="115" t="s">
        <v>0</v>
      </c>
      <c r="F77" s="115"/>
      <c r="G77" s="115"/>
      <c r="H77" s="115"/>
    </row>
    <row r="78" spans="1:11" x14ac:dyDescent="0.25">
      <c r="A78" s="113"/>
      <c r="B78" s="114"/>
      <c r="C78" s="114"/>
      <c r="D78" s="115"/>
      <c r="E78" s="128" t="s">
        <v>31</v>
      </c>
      <c r="F78" s="115"/>
      <c r="G78" s="115"/>
      <c r="H78" s="115"/>
    </row>
    <row r="79" spans="1:11" ht="15.75" thickBot="1" x14ac:dyDescent="0.3">
      <c r="A79" s="98" t="s">
        <v>98</v>
      </c>
      <c r="B79" s="98"/>
      <c r="C79" s="98"/>
      <c r="D79" s="98"/>
      <c r="E79" s="98"/>
      <c r="F79" s="98"/>
      <c r="G79" s="98"/>
      <c r="H79" s="98"/>
    </row>
    <row r="80" spans="1:11" x14ac:dyDescent="0.25">
      <c r="A80" s="100" t="s">
        <v>2</v>
      </c>
      <c r="B80" s="103" t="s">
        <v>30</v>
      </c>
      <c r="C80" s="104"/>
      <c r="D80" s="104"/>
      <c r="E80" s="104"/>
      <c r="F80" s="104"/>
      <c r="G80" s="105" t="s">
        <v>3</v>
      </c>
      <c r="H80" s="106"/>
    </row>
    <row r="81" spans="1:9" ht="126.75" customHeight="1" thickBot="1" x14ac:dyDescent="0.3">
      <c r="A81" s="124"/>
      <c r="B81" s="105" t="s">
        <v>30</v>
      </c>
      <c r="C81" s="105"/>
      <c r="D81" s="15" t="s">
        <v>32</v>
      </c>
      <c r="E81" s="105" t="s">
        <v>4</v>
      </c>
      <c r="F81" s="105"/>
      <c r="G81" s="125"/>
      <c r="H81" s="109"/>
    </row>
    <row r="82" spans="1:9" ht="165.75" thickBot="1" x14ac:dyDescent="0.3">
      <c r="A82" s="102"/>
      <c r="B82" s="14" t="s">
        <v>36</v>
      </c>
      <c r="C82" s="25" t="s">
        <v>5</v>
      </c>
      <c r="D82" s="15" t="s">
        <v>33</v>
      </c>
      <c r="E82" s="25" t="s">
        <v>34</v>
      </c>
      <c r="F82" s="7" t="s">
        <v>35</v>
      </c>
      <c r="G82" s="110"/>
      <c r="H82" s="111"/>
    </row>
    <row r="83" spans="1:9" ht="15.75" thickBot="1" x14ac:dyDescent="0.3">
      <c r="A83" s="24">
        <v>1</v>
      </c>
      <c r="B83" s="7">
        <v>2</v>
      </c>
      <c r="C83" s="11">
        <v>3</v>
      </c>
      <c r="D83" s="7">
        <v>4</v>
      </c>
      <c r="E83" s="11">
        <v>5</v>
      </c>
      <c r="F83" s="7">
        <v>6</v>
      </c>
      <c r="G83" s="96" t="s">
        <v>6</v>
      </c>
      <c r="H83" s="97"/>
    </row>
    <row r="84" spans="1:9" ht="57.75" customHeight="1" thickBot="1" x14ac:dyDescent="0.3">
      <c r="A84" s="2" t="s">
        <v>7</v>
      </c>
      <c r="B84" s="6">
        <f>B85</f>
        <v>33046.090000000004</v>
      </c>
      <c r="C84" s="12"/>
      <c r="D84" s="6">
        <f>D85</f>
        <v>9870.9099999999962</v>
      </c>
      <c r="E84" s="8" t="s">
        <v>8</v>
      </c>
      <c r="F84" s="8" t="s">
        <v>8</v>
      </c>
      <c r="G84" s="90">
        <f>43113-246-16+66</f>
        <v>42917</v>
      </c>
      <c r="H84" s="91"/>
    </row>
    <row r="85" spans="1:9" ht="15.75" thickBot="1" x14ac:dyDescent="0.3">
      <c r="A85" s="3" t="s">
        <v>9</v>
      </c>
      <c r="B85" s="6">
        <f>G85*77%</f>
        <v>33046.090000000004</v>
      </c>
      <c r="C85" s="12"/>
      <c r="D85" s="26">
        <f>G85-B85</f>
        <v>9870.9099999999962</v>
      </c>
      <c r="E85" s="8" t="s">
        <v>8</v>
      </c>
      <c r="F85" s="8" t="s">
        <v>8</v>
      </c>
      <c r="G85" s="90">
        <f>G84</f>
        <v>42917</v>
      </c>
      <c r="H85" s="91"/>
    </row>
    <row r="86" spans="1:9" ht="15.75" thickBot="1" x14ac:dyDescent="0.3">
      <c r="A86" s="2" t="s">
        <v>10</v>
      </c>
      <c r="B86" s="6">
        <v>0</v>
      </c>
      <c r="C86" s="12"/>
      <c r="D86" s="6">
        <v>0</v>
      </c>
      <c r="E86" s="8" t="s">
        <v>8</v>
      </c>
      <c r="F86" s="8" t="s">
        <v>8</v>
      </c>
      <c r="G86" s="90">
        <v>0</v>
      </c>
      <c r="H86" s="91"/>
    </row>
    <row r="87" spans="1:9" ht="60.75" thickBot="1" x14ac:dyDescent="0.3">
      <c r="A87" s="2" t="s">
        <v>11</v>
      </c>
      <c r="B87" s="6">
        <f t="shared" ref="B87" si="2">G87*77%</f>
        <v>12727.33</v>
      </c>
      <c r="C87" s="12"/>
      <c r="D87" s="26">
        <f>G87-B87</f>
        <v>3801.67</v>
      </c>
      <c r="E87" s="8" t="s">
        <v>8</v>
      </c>
      <c r="F87" s="8" t="s">
        <v>8</v>
      </c>
      <c r="G87" s="90">
        <f>16628-99</f>
        <v>16529</v>
      </c>
      <c r="H87" s="91"/>
    </row>
    <row r="88" spans="1:9" ht="30.75" thickBot="1" x14ac:dyDescent="0.3">
      <c r="A88" s="2" t="s">
        <v>12</v>
      </c>
      <c r="B88" s="6">
        <f>G88*77%</f>
        <v>277.97000000000003</v>
      </c>
      <c r="C88" s="12"/>
      <c r="D88" s="26">
        <f>G88-B88</f>
        <v>83.029999999999973</v>
      </c>
      <c r="E88" s="8" t="s">
        <v>8</v>
      </c>
      <c r="F88" s="8" t="s">
        <v>8</v>
      </c>
      <c r="G88" s="90">
        <f>246+16+99</f>
        <v>361</v>
      </c>
      <c r="H88" s="91"/>
      <c r="I88" s="10">
        <f>G88+G87+G85</f>
        <v>59807</v>
      </c>
    </row>
    <row r="89" spans="1:9" ht="15.75" thickBot="1" x14ac:dyDescent="0.3">
      <c r="A89" s="2" t="s">
        <v>13</v>
      </c>
      <c r="B89" s="6">
        <f>G89*56%</f>
        <v>4359.6000000000004</v>
      </c>
      <c r="C89" s="6"/>
      <c r="D89" s="26">
        <f>G89-B89</f>
        <v>3425.3999999999996</v>
      </c>
      <c r="E89" s="8" t="s">
        <v>8</v>
      </c>
      <c r="F89" s="8" t="s">
        <v>8</v>
      </c>
      <c r="G89" s="90">
        <v>7785</v>
      </c>
      <c r="H89" s="91"/>
    </row>
    <row r="90" spans="1:9" ht="30.75" thickBot="1" x14ac:dyDescent="0.3">
      <c r="A90" s="2" t="s">
        <v>14</v>
      </c>
      <c r="B90" s="6">
        <f>G90*56%</f>
        <v>963.7600000000001</v>
      </c>
      <c r="C90" s="6"/>
      <c r="D90" s="26">
        <f>G90-B90</f>
        <v>757.2399999999999</v>
      </c>
      <c r="E90" s="8" t="s">
        <v>8</v>
      </c>
      <c r="F90" s="8" t="s">
        <v>8</v>
      </c>
      <c r="G90" s="90">
        <f>406+1315</f>
        <v>1721</v>
      </c>
      <c r="H90" s="91"/>
    </row>
    <row r="91" spans="1:9" ht="45.75" thickBot="1" x14ac:dyDescent="0.3">
      <c r="A91" s="2" t="s">
        <v>15</v>
      </c>
      <c r="B91" s="8" t="s">
        <v>8</v>
      </c>
      <c r="C91" s="8" t="s">
        <v>8</v>
      </c>
      <c r="D91" s="6"/>
      <c r="E91" s="8" t="s">
        <v>8</v>
      </c>
      <c r="F91" s="8" t="s">
        <v>8</v>
      </c>
      <c r="G91" s="90"/>
      <c r="H91" s="91"/>
    </row>
    <row r="92" spans="1:9" ht="15.75" thickBot="1" x14ac:dyDescent="0.3">
      <c r="A92" s="2" t="s">
        <v>16</v>
      </c>
      <c r="B92" s="8" t="s">
        <v>8</v>
      </c>
      <c r="C92" s="8" t="s">
        <v>8</v>
      </c>
      <c r="D92" s="12"/>
      <c r="E92" s="6"/>
      <c r="F92" s="6"/>
      <c r="G92" s="90"/>
      <c r="H92" s="91"/>
    </row>
    <row r="93" spans="1:9" ht="15.75" thickBot="1" x14ac:dyDescent="0.3">
      <c r="A93" s="3" t="s">
        <v>17</v>
      </c>
      <c r="B93" s="6">
        <f>G93*56%</f>
        <v>0</v>
      </c>
      <c r="C93" s="8"/>
      <c r="D93" s="6"/>
      <c r="E93" s="6">
        <f>G93-B93</f>
        <v>0</v>
      </c>
      <c r="F93" s="6"/>
      <c r="G93" s="90">
        <v>0</v>
      </c>
      <c r="H93" s="91"/>
    </row>
    <row r="94" spans="1:9" ht="15.75" thickBot="1" x14ac:dyDescent="0.3">
      <c r="A94" s="3" t="s">
        <v>18</v>
      </c>
      <c r="B94" s="6"/>
      <c r="C94" s="8"/>
      <c r="D94" s="8"/>
      <c r="E94" s="6"/>
      <c r="F94" s="6"/>
      <c r="G94" s="90"/>
      <c r="H94" s="91"/>
    </row>
    <row r="95" spans="1:9" ht="45.75" thickBot="1" x14ac:dyDescent="0.3">
      <c r="A95" s="2" t="s">
        <v>19</v>
      </c>
      <c r="B95" s="6"/>
      <c r="C95" s="8"/>
      <c r="D95" s="6"/>
      <c r="E95" s="6"/>
      <c r="F95" s="6"/>
      <c r="G95" s="94"/>
      <c r="H95" s="95"/>
    </row>
    <row r="96" spans="1:9" ht="30.75" thickBot="1" x14ac:dyDescent="0.3">
      <c r="A96" s="2" t="s">
        <v>20</v>
      </c>
      <c r="B96" s="6"/>
      <c r="C96" s="8"/>
      <c r="D96" s="6"/>
      <c r="E96" s="6">
        <v>9429</v>
      </c>
      <c r="F96" s="6"/>
      <c r="G96" s="90">
        <v>9429</v>
      </c>
      <c r="H96" s="91"/>
    </row>
    <row r="97" spans="1:11" ht="30.75" thickBot="1" x14ac:dyDescent="0.3">
      <c r="A97" s="2" t="s">
        <v>21</v>
      </c>
      <c r="B97" s="6">
        <f>G97*56%</f>
        <v>7052.0800000000008</v>
      </c>
      <c r="C97" s="6"/>
      <c r="D97" s="26">
        <f>G97-B97</f>
        <v>5540.9199999999992</v>
      </c>
      <c r="E97" s="8" t="s">
        <v>8</v>
      </c>
      <c r="F97" s="8" t="s">
        <v>8</v>
      </c>
      <c r="G97" s="90">
        <f>12282+311</f>
        <v>12593</v>
      </c>
      <c r="H97" s="91"/>
    </row>
    <row r="98" spans="1:11" ht="15.75" thickBot="1" x14ac:dyDescent="0.3">
      <c r="A98" s="3" t="s">
        <v>22</v>
      </c>
      <c r="B98" s="6">
        <f>G98*56%</f>
        <v>3422.7200000000003</v>
      </c>
      <c r="C98" s="6"/>
      <c r="D98" s="31">
        <f>G98-B98</f>
        <v>2689.2799999999997</v>
      </c>
      <c r="E98" s="8" t="s">
        <v>8</v>
      </c>
      <c r="F98" s="8" t="s">
        <v>8</v>
      </c>
      <c r="G98" s="90">
        <f>2922+10+3180</f>
        <v>6112</v>
      </c>
      <c r="H98" s="91"/>
    </row>
    <row r="99" spans="1:11" ht="15.75" thickBot="1" x14ac:dyDescent="0.3">
      <c r="A99" s="3" t="s">
        <v>23</v>
      </c>
      <c r="B99" s="8" t="s">
        <v>8</v>
      </c>
      <c r="C99" s="12"/>
      <c r="D99" s="8" t="s">
        <v>8</v>
      </c>
      <c r="E99" s="8" t="s">
        <v>8</v>
      </c>
      <c r="F99" s="8" t="s">
        <v>8</v>
      </c>
      <c r="G99" s="94"/>
      <c r="H99" s="95"/>
    </row>
    <row r="100" spans="1:11" ht="15.75" thickBot="1" x14ac:dyDescent="0.3">
      <c r="A100" s="3" t="s">
        <v>24</v>
      </c>
      <c r="B100" s="6"/>
      <c r="C100" s="6"/>
      <c r="D100" s="6"/>
      <c r="E100" s="8" t="s">
        <v>8</v>
      </c>
      <c r="F100" s="8" t="s">
        <v>8</v>
      </c>
      <c r="G100" s="90"/>
      <c r="H100" s="91"/>
    </row>
    <row r="101" spans="1:11" ht="15.75" thickBot="1" x14ac:dyDescent="0.3">
      <c r="A101" s="4" t="s">
        <v>25</v>
      </c>
      <c r="B101" s="6">
        <f>SUM(B85:B100)</f>
        <v>61849.55000000001</v>
      </c>
      <c r="C101" s="6"/>
      <c r="D101" s="6">
        <f>SUM(D85:D100)</f>
        <v>26168.449999999993</v>
      </c>
      <c r="E101" s="6">
        <f>SUM(E85:E100)</f>
        <v>9429</v>
      </c>
      <c r="F101" s="6"/>
      <c r="G101" s="90">
        <f>SUM(G85:H100)</f>
        <v>97447</v>
      </c>
      <c r="H101" s="91"/>
    </row>
    <row r="102" spans="1:11" x14ac:dyDescent="0.25">
      <c r="A102" s="92" t="s">
        <v>26</v>
      </c>
      <c r="B102" s="92"/>
      <c r="C102" s="92"/>
      <c r="D102" s="92"/>
      <c r="E102" s="92"/>
      <c r="F102" s="92"/>
      <c r="G102" s="92"/>
      <c r="H102" s="92"/>
    </row>
    <row r="103" spans="1:11" x14ac:dyDescent="0.25">
      <c r="A103" s="93" t="s">
        <v>27</v>
      </c>
      <c r="B103" s="93"/>
      <c r="C103" s="93"/>
      <c r="D103" s="93"/>
      <c r="E103" s="93"/>
      <c r="F103" s="93"/>
      <c r="G103" s="93"/>
      <c r="H103" s="93"/>
    </row>
    <row r="104" spans="1:11" x14ac:dyDescent="0.25">
      <c r="A104" s="93" t="s">
        <v>28</v>
      </c>
      <c r="B104" s="93"/>
      <c r="C104" s="93"/>
      <c r="D104" s="93"/>
      <c r="E104" s="93"/>
      <c r="F104" s="93"/>
      <c r="G104" s="93"/>
      <c r="H104" s="93"/>
      <c r="K104" s="10" t="e">
        <f>G421-G416</f>
        <v>#VALUE!</v>
      </c>
    </row>
    <row r="105" spans="1:11" x14ac:dyDescent="0.25">
      <c r="K105" s="10" t="e">
        <f>K104-244898</f>
        <v>#VALUE!</v>
      </c>
    </row>
    <row r="106" spans="1:11" x14ac:dyDescent="0.25">
      <c r="B106" s="10" t="s">
        <v>95</v>
      </c>
      <c r="C106" s="10">
        <v>56764</v>
      </c>
    </row>
    <row r="107" spans="1:11" x14ac:dyDescent="0.25">
      <c r="C107" s="10">
        <f>C106-B101</f>
        <v>-5085.5500000000102</v>
      </c>
    </row>
    <row r="120" spans="1:8" x14ac:dyDescent="0.25">
      <c r="A120" s="22"/>
      <c r="B120" s="23"/>
      <c r="C120" s="23"/>
      <c r="D120" s="23"/>
      <c r="E120" s="112" t="s">
        <v>29</v>
      </c>
      <c r="F120" s="112"/>
      <c r="G120" s="112"/>
      <c r="H120" s="112"/>
    </row>
    <row r="121" spans="1:8" x14ac:dyDescent="0.25">
      <c r="A121" s="113"/>
      <c r="B121" s="114"/>
      <c r="C121" s="114"/>
      <c r="D121" s="115"/>
      <c r="E121" s="115" t="s">
        <v>0</v>
      </c>
      <c r="F121" s="115"/>
      <c r="G121" s="115"/>
      <c r="H121" s="115"/>
    </row>
    <row r="122" spans="1:8" x14ac:dyDescent="0.25">
      <c r="A122" s="113"/>
      <c r="B122" s="114"/>
      <c r="C122" s="114"/>
      <c r="D122" s="115"/>
      <c r="E122" s="128" t="s">
        <v>31</v>
      </c>
      <c r="F122" s="115"/>
      <c r="G122" s="115"/>
      <c r="H122" s="115"/>
    </row>
    <row r="123" spans="1:8" ht="15.75" thickBot="1" x14ac:dyDescent="0.3">
      <c r="A123" s="98" t="s">
        <v>99</v>
      </c>
      <c r="B123" s="98"/>
      <c r="C123" s="98"/>
      <c r="D123" s="98"/>
      <c r="E123" s="98"/>
      <c r="F123" s="98"/>
      <c r="G123" s="98"/>
      <c r="H123" s="98"/>
    </row>
    <row r="124" spans="1:8" x14ac:dyDescent="0.25">
      <c r="A124" s="100" t="s">
        <v>2</v>
      </c>
      <c r="B124" s="103" t="s">
        <v>30</v>
      </c>
      <c r="C124" s="104"/>
      <c r="D124" s="104"/>
      <c r="E124" s="104"/>
      <c r="F124" s="104"/>
      <c r="G124" s="105" t="s">
        <v>3</v>
      </c>
      <c r="H124" s="106"/>
    </row>
    <row r="125" spans="1:8" ht="180.75" thickBot="1" x14ac:dyDescent="0.3">
      <c r="A125" s="124"/>
      <c r="B125" s="105" t="s">
        <v>30</v>
      </c>
      <c r="C125" s="105"/>
      <c r="D125" s="15" t="s">
        <v>32</v>
      </c>
      <c r="E125" s="105" t="s">
        <v>4</v>
      </c>
      <c r="F125" s="105"/>
      <c r="G125" s="125"/>
      <c r="H125" s="109"/>
    </row>
    <row r="126" spans="1:8" ht="165.75" thickBot="1" x14ac:dyDescent="0.3">
      <c r="A126" s="102"/>
      <c r="B126" s="14" t="s">
        <v>36</v>
      </c>
      <c r="C126" s="25" t="s">
        <v>5</v>
      </c>
      <c r="D126" s="15" t="s">
        <v>33</v>
      </c>
      <c r="E126" s="25" t="s">
        <v>34</v>
      </c>
      <c r="F126" s="7" t="s">
        <v>35</v>
      </c>
      <c r="G126" s="110"/>
      <c r="H126" s="111"/>
    </row>
    <row r="127" spans="1:8" ht="15.75" thickBot="1" x14ac:dyDescent="0.3">
      <c r="A127" s="24">
        <v>1</v>
      </c>
      <c r="B127" s="7">
        <v>2</v>
      </c>
      <c r="C127" s="11">
        <v>3</v>
      </c>
      <c r="D127" s="7">
        <v>4</v>
      </c>
      <c r="E127" s="11">
        <v>5</v>
      </c>
      <c r="F127" s="7">
        <v>6</v>
      </c>
      <c r="G127" s="96" t="s">
        <v>6</v>
      </c>
      <c r="H127" s="97"/>
    </row>
    <row r="128" spans="1:8" ht="57.75" customHeight="1" thickBot="1" x14ac:dyDescent="0.3">
      <c r="A128" s="2" t="s">
        <v>7</v>
      </c>
      <c r="B128" s="6">
        <f>B129</f>
        <v>43778.35</v>
      </c>
      <c r="C128" s="12"/>
      <c r="D128" s="6">
        <f>D129</f>
        <v>13076.650000000001</v>
      </c>
      <c r="E128" s="8" t="s">
        <v>8</v>
      </c>
      <c r="F128" s="8" t="s">
        <v>8</v>
      </c>
      <c r="G128" s="90">
        <f>57775-970-16+66</f>
        <v>56855</v>
      </c>
      <c r="H128" s="91"/>
    </row>
    <row r="129" spans="1:9" ht="15.75" thickBot="1" x14ac:dyDescent="0.3">
      <c r="A129" s="3" t="s">
        <v>9</v>
      </c>
      <c r="B129" s="6">
        <f>G129*77%</f>
        <v>43778.35</v>
      </c>
      <c r="C129" s="12"/>
      <c r="D129" s="26">
        <f>G129-B129</f>
        <v>13076.650000000001</v>
      </c>
      <c r="E129" s="8" t="s">
        <v>8</v>
      </c>
      <c r="F129" s="8" t="s">
        <v>8</v>
      </c>
      <c r="G129" s="90">
        <f>G128</f>
        <v>56855</v>
      </c>
      <c r="H129" s="91"/>
    </row>
    <row r="130" spans="1:9" ht="15.75" thickBot="1" x14ac:dyDescent="0.3">
      <c r="A130" s="2" t="s">
        <v>10</v>
      </c>
      <c r="B130" s="6">
        <v>0</v>
      </c>
      <c r="C130" s="12"/>
      <c r="D130" s="6">
        <v>0</v>
      </c>
      <c r="E130" s="8" t="s">
        <v>8</v>
      </c>
      <c r="F130" s="8" t="s">
        <v>8</v>
      </c>
      <c r="G130" s="90">
        <v>0</v>
      </c>
      <c r="H130" s="91"/>
    </row>
    <row r="131" spans="1:9" ht="60.75" thickBot="1" x14ac:dyDescent="0.3">
      <c r="A131" s="2" t="s">
        <v>11</v>
      </c>
      <c r="B131" s="6">
        <f t="shared" ref="B131" si="3">G131*77%</f>
        <v>19149.900000000001</v>
      </c>
      <c r="C131" s="12"/>
      <c r="D131" s="26">
        <f>G131-B131</f>
        <v>5720.0999999999985</v>
      </c>
      <c r="E131" s="8" t="s">
        <v>8</v>
      </c>
      <c r="F131" s="8" t="s">
        <v>8</v>
      </c>
      <c r="G131" s="90">
        <f>25407-537</f>
        <v>24870</v>
      </c>
      <c r="H131" s="91"/>
    </row>
    <row r="132" spans="1:9" ht="30.75" thickBot="1" x14ac:dyDescent="0.3">
      <c r="A132" s="2" t="s">
        <v>12</v>
      </c>
      <c r="B132" s="6">
        <f>G132*77%</f>
        <v>1172.71</v>
      </c>
      <c r="C132" s="12"/>
      <c r="D132" s="26">
        <f>G132-B132</f>
        <v>350.28999999999996</v>
      </c>
      <c r="E132" s="8" t="s">
        <v>8</v>
      </c>
      <c r="F132" s="8" t="s">
        <v>8</v>
      </c>
      <c r="G132" s="90">
        <f>970+16+537</f>
        <v>1523</v>
      </c>
      <c r="H132" s="91"/>
      <c r="I132" s="10">
        <f>G129+G131+G132</f>
        <v>83248</v>
      </c>
    </row>
    <row r="133" spans="1:9" ht="15.75" thickBot="1" x14ac:dyDescent="0.3">
      <c r="A133" s="2" t="s">
        <v>13</v>
      </c>
      <c r="B133" s="6">
        <f>G133*56%</f>
        <v>4961.6000000000004</v>
      </c>
      <c r="C133" s="6"/>
      <c r="D133" s="26">
        <f>G133-B133</f>
        <v>3898.3999999999996</v>
      </c>
      <c r="E133" s="8" t="s">
        <v>8</v>
      </c>
      <c r="F133" s="8" t="s">
        <v>8</v>
      </c>
      <c r="G133" s="90">
        <v>8860</v>
      </c>
      <c r="H133" s="91"/>
    </row>
    <row r="134" spans="1:9" ht="30.75" thickBot="1" x14ac:dyDescent="0.3">
      <c r="A134" s="2" t="s">
        <v>14</v>
      </c>
      <c r="B134" s="6">
        <f>G134*56%</f>
        <v>2233.84</v>
      </c>
      <c r="C134" s="6"/>
      <c r="D134" s="26">
        <f>G134-B134</f>
        <v>1755.1599999999999</v>
      </c>
      <c r="E134" s="8" t="s">
        <v>8</v>
      </c>
      <c r="F134" s="8" t="s">
        <v>8</v>
      </c>
      <c r="G134" s="90">
        <f>2370+1619</f>
        <v>3989</v>
      </c>
      <c r="H134" s="91"/>
    </row>
    <row r="135" spans="1:9" ht="45.75" thickBot="1" x14ac:dyDescent="0.3">
      <c r="A135" s="2" t="s">
        <v>15</v>
      </c>
      <c r="B135" s="8" t="s">
        <v>8</v>
      </c>
      <c r="C135" s="8" t="s">
        <v>8</v>
      </c>
      <c r="D135" s="6"/>
      <c r="E135" s="8" t="s">
        <v>8</v>
      </c>
      <c r="F135" s="8" t="s">
        <v>8</v>
      </c>
      <c r="G135" s="90"/>
      <c r="H135" s="91"/>
    </row>
    <row r="136" spans="1:9" ht="15.75" thickBot="1" x14ac:dyDescent="0.3">
      <c r="A136" s="2" t="s">
        <v>16</v>
      </c>
      <c r="B136" s="8" t="s">
        <v>8</v>
      </c>
      <c r="C136" s="8" t="s">
        <v>8</v>
      </c>
      <c r="D136" s="12"/>
      <c r="E136" s="6"/>
      <c r="F136" s="6"/>
      <c r="G136" s="90"/>
      <c r="H136" s="91"/>
    </row>
    <row r="137" spans="1:9" ht="15.75" thickBot="1" x14ac:dyDescent="0.3">
      <c r="A137" s="3" t="s">
        <v>17</v>
      </c>
      <c r="B137" s="6">
        <f>G137*56%</f>
        <v>0</v>
      </c>
      <c r="C137" s="8"/>
      <c r="D137" s="6"/>
      <c r="E137" s="6">
        <f>G137-B137</f>
        <v>0</v>
      </c>
      <c r="F137" s="6"/>
      <c r="G137" s="90">
        <v>0</v>
      </c>
      <c r="H137" s="91"/>
    </row>
    <row r="138" spans="1:9" ht="15.75" thickBot="1" x14ac:dyDescent="0.3">
      <c r="A138" s="3" t="s">
        <v>18</v>
      </c>
      <c r="B138" s="6"/>
      <c r="C138" s="8"/>
      <c r="D138" s="8"/>
      <c r="E138" s="6"/>
      <c r="F138" s="6"/>
      <c r="G138" s="90"/>
      <c r="H138" s="91"/>
    </row>
    <row r="139" spans="1:9" ht="45.75" thickBot="1" x14ac:dyDescent="0.3">
      <c r="A139" s="2" t="s">
        <v>19</v>
      </c>
      <c r="B139" s="6"/>
      <c r="C139" s="8"/>
      <c r="D139" s="6"/>
      <c r="E139" s="6"/>
      <c r="F139" s="6"/>
      <c r="G139" s="94"/>
      <c r="H139" s="95"/>
    </row>
    <row r="140" spans="1:9" ht="30.75" thickBot="1" x14ac:dyDescent="0.3">
      <c r="A140" s="2" t="s">
        <v>20</v>
      </c>
      <c r="B140" s="6"/>
      <c r="C140" s="8"/>
      <c r="D140" s="6"/>
      <c r="E140" s="6">
        <v>12604</v>
      </c>
      <c r="F140" s="6"/>
      <c r="G140" s="90">
        <v>12604</v>
      </c>
      <c r="H140" s="91"/>
    </row>
    <row r="141" spans="1:9" ht="30.75" thickBot="1" x14ac:dyDescent="0.3">
      <c r="A141" s="2" t="s">
        <v>21</v>
      </c>
      <c r="B141" s="6">
        <f>G141*56%</f>
        <v>8621.76</v>
      </c>
      <c r="C141" s="6"/>
      <c r="D141" s="26">
        <f>G141-B141</f>
        <v>6774.24</v>
      </c>
      <c r="E141" s="8" t="s">
        <v>8</v>
      </c>
      <c r="F141" s="8" t="s">
        <v>8</v>
      </c>
      <c r="G141" s="90">
        <f>14827+569</f>
        <v>15396</v>
      </c>
      <c r="H141" s="91"/>
    </row>
    <row r="142" spans="1:9" ht="15.75" thickBot="1" x14ac:dyDescent="0.3">
      <c r="A142" s="3" t="s">
        <v>22</v>
      </c>
      <c r="B142" s="6">
        <f>G142*56%</f>
        <v>4552.8</v>
      </c>
      <c r="C142" s="6"/>
      <c r="D142" s="31">
        <f>G142-B142</f>
        <v>3577.2</v>
      </c>
      <c r="E142" s="8" t="s">
        <v>8</v>
      </c>
      <c r="F142" s="8" t="s">
        <v>8</v>
      </c>
      <c r="G142" s="90">
        <f>3444+10+4676</f>
        <v>8130</v>
      </c>
      <c r="H142" s="91"/>
    </row>
    <row r="143" spans="1:9" ht="15.75" thickBot="1" x14ac:dyDescent="0.3">
      <c r="A143" s="3" t="s">
        <v>23</v>
      </c>
      <c r="B143" s="8" t="s">
        <v>8</v>
      </c>
      <c r="C143" s="12"/>
      <c r="D143" s="8" t="s">
        <v>8</v>
      </c>
      <c r="E143" s="8" t="s">
        <v>8</v>
      </c>
      <c r="F143" s="8" t="s">
        <v>8</v>
      </c>
      <c r="G143" s="94"/>
      <c r="H143" s="95"/>
    </row>
    <row r="144" spans="1:9" ht="15.75" thickBot="1" x14ac:dyDescent="0.3">
      <c r="A144" s="3" t="s">
        <v>24</v>
      </c>
      <c r="B144" s="6"/>
      <c r="C144" s="6"/>
      <c r="D144" s="6"/>
      <c r="E144" s="8" t="s">
        <v>8</v>
      </c>
      <c r="F144" s="8" t="s">
        <v>8</v>
      </c>
      <c r="G144" s="90"/>
      <c r="H144" s="91"/>
    </row>
    <row r="145" spans="1:11" ht="15.75" thickBot="1" x14ac:dyDescent="0.3">
      <c r="A145" s="4" t="s">
        <v>25</v>
      </c>
      <c r="B145" s="6">
        <f>SUM(B129:B144)</f>
        <v>84470.959999999992</v>
      </c>
      <c r="C145" s="6"/>
      <c r="D145" s="6">
        <f>SUM(D129:D144)</f>
        <v>35152.04</v>
      </c>
      <c r="E145" s="6">
        <f>SUM(E129:E144)</f>
        <v>12604</v>
      </c>
      <c r="F145" s="6"/>
      <c r="G145" s="90">
        <f>SUM(G129:H144)</f>
        <v>132227</v>
      </c>
      <c r="H145" s="91"/>
    </row>
    <row r="146" spans="1:11" x14ac:dyDescent="0.25">
      <c r="A146" s="92" t="s">
        <v>26</v>
      </c>
      <c r="B146" s="92"/>
      <c r="C146" s="92"/>
      <c r="D146" s="92"/>
      <c r="E146" s="92"/>
      <c r="F146" s="92"/>
      <c r="G146" s="92"/>
      <c r="H146" s="92"/>
    </row>
    <row r="147" spans="1:11" x14ac:dyDescent="0.25">
      <c r="A147" s="93" t="s">
        <v>27</v>
      </c>
      <c r="B147" s="93"/>
      <c r="C147" s="93"/>
      <c r="D147" s="93"/>
      <c r="E147" s="93"/>
      <c r="F147" s="93"/>
      <c r="G147" s="93"/>
      <c r="H147" s="93"/>
    </row>
    <row r="148" spans="1:11" x14ac:dyDescent="0.25">
      <c r="A148" s="93" t="s">
        <v>28</v>
      </c>
      <c r="B148" s="93"/>
      <c r="C148" s="93"/>
      <c r="D148" s="93"/>
      <c r="E148" s="93"/>
      <c r="F148" s="93"/>
      <c r="G148" s="93"/>
      <c r="H148" s="93"/>
      <c r="K148" s="10">
        <f>G324-G319</f>
        <v>263164</v>
      </c>
    </row>
    <row r="149" spans="1:11" x14ac:dyDescent="0.25">
      <c r="B149" s="10" t="s">
        <v>100</v>
      </c>
      <c r="C149" s="10">
        <v>86642</v>
      </c>
      <c r="K149" s="10">
        <f>K148-244898</f>
        <v>18266</v>
      </c>
    </row>
    <row r="150" spans="1:11" x14ac:dyDescent="0.25">
      <c r="C150" s="10">
        <f>C149-B145</f>
        <v>2171.0400000000081</v>
      </c>
    </row>
    <row r="155" spans="1:11" x14ac:dyDescent="0.25">
      <c r="A155" s="22"/>
      <c r="B155" s="23"/>
      <c r="C155" s="23"/>
      <c r="D155" s="23"/>
      <c r="E155" s="112" t="s">
        <v>29</v>
      </c>
      <c r="F155" s="112"/>
      <c r="G155" s="112"/>
      <c r="H155" s="112"/>
    </row>
    <row r="156" spans="1:11" x14ac:dyDescent="0.25">
      <c r="A156" s="113"/>
      <c r="B156" s="114"/>
      <c r="C156" s="114"/>
      <c r="D156" s="115"/>
      <c r="E156" s="115" t="s">
        <v>0</v>
      </c>
      <c r="F156" s="115"/>
      <c r="G156" s="115"/>
      <c r="H156" s="115"/>
    </row>
    <row r="157" spans="1:11" x14ac:dyDescent="0.25">
      <c r="A157" s="113"/>
      <c r="B157" s="114"/>
      <c r="C157" s="114"/>
      <c r="D157" s="115"/>
      <c r="E157" s="128" t="s">
        <v>31</v>
      </c>
      <c r="F157" s="115"/>
      <c r="G157" s="115"/>
      <c r="H157" s="115"/>
    </row>
    <row r="158" spans="1:11" ht="15.75" thickBot="1" x14ac:dyDescent="0.3">
      <c r="A158" s="98" t="s">
        <v>101</v>
      </c>
      <c r="B158" s="98"/>
      <c r="C158" s="98"/>
      <c r="D158" s="98"/>
      <c r="E158" s="98"/>
      <c r="F158" s="98"/>
      <c r="G158" s="98"/>
      <c r="H158" s="98"/>
    </row>
    <row r="159" spans="1:11" x14ac:dyDescent="0.25">
      <c r="A159" s="100" t="s">
        <v>2</v>
      </c>
      <c r="B159" s="103" t="s">
        <v>30</v>
      </c>
      <c r="C159" s="104"/>
      <c r="D159" s="104"/>
      <c r="E159" s="104"/>
      <c r="F159" s="104"/>
      <c r="G159" s="105" t="s">
        <v>3</v>
      </c>
      <c r="H159" s="106"/>
    </row>
    <row r="160" spans="1:11" ht="180.75" thickBot="1" x14ac:dyDescent="0.3">
      <c r="A160" s="124"/>
      <c r="B160" s="105" t="s">
        <v>30</v>
      </c>
      <c r="C160" s="105"/>
      <c r="D160" s="15" t="s">
        <v>32</v>
      </c>
      <c r="E160" s="105" t="s">
        <v>4</v>
      </c>
      <c r="F160" s="105"/>
      <c r="G160" s="125"/>
      <c r="H160" s="109"/>
    </row>
    <row r="161" spans="1:9" ht="165.75" thickBot="1" x14ac:dyDescent="0.3">
      <c r="A161" s="102"/>
      <c r="B161" s="14" t="s">
        <v>36</v>
      </c>
      <c r="C161" s="25" t="s">
        <v>5</v>
      </c>
      <c r="D161" s="15" t="s">
        <v>33</v>
      </c>
      <c r="E161" s="25" t="s">
        <v>34</v>
      </c>
      <c r="F161" s="7" t="s">
        <v>35</v>
      </c>
      <c r="G161" s="110"/>
      <c r="H161" s="111"/>
    </row>
    <row r="162" spans="1:9" ht="15.75" thickBot="1" x14ac:dyDescent="0.3">
      <c r="A162" s="24">
        <v>1</v>
      </c>
      <c r="B162" s="7">
        <v>2</v>
      </c>
      <c r="C162" s="11">
        <v>3</v>
      </c>
      <c r="D162" s="7">
        <v>4</v>
      </c>
      <c r="E162" s="11">
        <v>5</v>
      </c>
      <c r="F162" s="7">
        <v>6</v>
      </c>
      <c r="G162" s="96" t="s">
        <v>6</v>
      </c>
      <c r="H162" s="97"/>
    </row>
    <row r="163" spans="1:9" ht="57.75" customHeight="1" thickBot="1" x14ac:dyDescent="0.3">
      <c r="A163" s="2" t="s">
        <v>7</v>
      </c>
      <c r="B163" s="6">
        <f>B164</f>
        <v>54211.85</v>
      </c>
      <c r="C163" s="12"/>
      <c r="D163" s="6">
        <f>D164</f>
        <v>16193.150000000001</v>
      </c>
      <c r="E163" s="8" t="s">
        <v>8</v>
      </c>
      <c r="F163" s="8" t="s">
        <v>8</v>
      </c>
      <c r="G163" s="90">
        <f>71408-1054-16+67</f>
        <v>70405</v>
      </c>
      <c r="H163" s="91"/>
    </row>
    <row r="164" spans="1:9" ht="15.75" thickBot="1" x14ac:dyDescent="0.3">
      <c r="A164" s="3" t="s">
        <v>9</v>
      </c>
      <c r="B164" s="6">
        <f>G164*77%</f>
        <v>54211.85</v>
      </c>
      <c r="C164" s="12"/>
      <c r="D164" s="26">
        <f>G164-B164</f>
        <v>16193.150000000001</v>
      </c>
      <c r="E164" s="8" t="s">
        <v>8</v>
      </c>
      <c r="F164" s="8" t="s">
        <v>8</v>
      </c>
      <c r="G164" s="90">
        <f>G163</f>
        <v>70405</v>
      </c>
      <c r="H164" s="91"/>
    </row>
    <row r="165" spans="1:9" ht="15.75" thickBot="1" x14ac:dyDescent="0.3">
      <c r="A165" s="2" t="s">
        <v>10</v>
      </c>
      <c r="B165" s="6">
        <v>0</v>
      </c>
      <c r="C165" s="12"/>
      <c r="D165" s="6">
        <v>0</v>
      </c>
      <c r="E165" s="8" t="s">
        <v>8</v>
      </c>
      <c r="F165" s="8" t="s">
        <v>8</v>
      </c>
      <c r="G165" s="90">
        <v>0</v>
      </c>
      <c r="H165" s="91"/>
    </row>
    <row r="166" spans="1:9" ht="60.75" thickBot="1" x14ac:dyDescent="0.3">
      <c r="A166" s="2" t="s">
        <v>11</v>
      </c>
      <c r="B166" s="6">
        <f t="shared" ref="B166" si="4">G166*77%</f>
        <v>24458.28</v>
      </c>
      <c r="C166" s="12"/>
      <c r="D166" s="26">
        <f>G166-B166</f>
        <v>7305.7200000000012</v>
      </c>
      <c r="E166" s="8" t="s">
        <v>8</v>
      </c>
      <c r="F166" s="8" t="s">
        <v>8</v>
      </c>
      <c r="G166" s="90">
        <f>32447-683</f>
        <v>31764</v>
      </c>
      <c r="H166" s="91"/>
    </row>
    <row r="167" spans="1:9" ht="30.75" thickBot="1" x14ac:dyDescent="0.3">
      <c r="A167" s="2" t="s">
        <v>12</v>
      </c>
      <c r="B167" s="6">
        <f>G167*77%</f>
        <v>1349.81</v>
      </c>
      <c r="C167" s="12"/>
      <c r="D167" s="26">
        <f>G167-B167</f>
        <v>403.19000000000005</v>
      </c>
      <c r="E167" s="8" t="s">
        <v>8</v>
      </c>
      <c r="F167" s="8" t="s">
        <v>8</v>
      </c>
      <c r="G167" s="90">
        <f>683+1054+16</f>
        <v>1753</v>
      </c>
      <c r="H167" s="91"/>
      <c r="I167" s="10">
        <f>G164+G166+G167</f>
        <v>103922</v>
      </c>
    </row>
    <row r="168" spans="1:9" ht="15.75" thickBot="1" x14ac:dyDescent="0.3">
      <c r="A168" s="2" t="s">
        <v>13</v>
      </c>
      <c r="B168" s="6">
        <f>G168*56%</f>
        <v>4961.6000000000004</v>
      </c>
      <c r="C168" s="6"/>
      <c r="D168" s="26">
        <f>G168-B168</f>
        <v>3898.3999999999996</v>
      </c>
      <c r="E168" s="8" t="s">
        <v>8</v>
      </c>
      <c r="F168" s="8" t="s">
        <v>8</v>
      </c>
      <c r="G168" s="90">
        <v>8860</v>
      </c>
      <c r="H168" s="91"/>
    </row>
    <row r="169" spans="1:9" ht="30.75" thickBot="1" x14ac:dyDescent="0.3">
      <c r="A169" s="2" t="s">
        <v>14</v>
      </c>
      <c r="B169" s="6">
        <f>G169*56%</f>
        <v>2653.84</v>
      </c>
      <c r="C169" s="6"/>
      <c r="D169" s="26">
        <f>G169-B169</f>
        <v>2085.16</v>
      </c>
      <c r="E169" s="8" t="s">
        <v>8</v>
      </c>
      <c r="F169" s="8" t="s">
        <v>8</v>
      </c>
      <c r="G169" s="90">
        <f>2665+2074</f>
        <v>4739</v>
      </c>
      <c r="H169" s="91"/>
    </row>
    <row r="170" spans="1:9" ht="45.75" thickBot="1" x14ac:dyDescent="0.3">
      <c r="A170" s="2" t="s">
        <v>15</v>
      </c>
      <c r="B170" s="8" t="s">
        <v>8</v>
      </c>
      <c r="C170" s="8" t="s">
        <v>8</v>
      </c>
      <c r="D170" s="6"/>
      <c r="E170" s="8" t="s">
        <v>8</v>
      </c>
      <c r="F170" s="8" t="s">
        <v>8</v>
      </c>
      <c r="G170" s="90"/>
      <c r="H170" s="91"/>
    </row>
    <row r="171" spans="1:9" ht="15.75" thickBot="1" x14ac:dyDescent="0.3">
      <c r="A171" s="2" t="s">
        <v>16</v>
      </c>
      <c r="B171" s="8" t="s">
        <v>8</v>
      </c>
      <c r="C171" s="8" t="s">
        <v>8</v>
      </c>
      <c r="D171" s="12"/>
      <c r="E171" s="6"/>
      <c r="F171" s="6"/>
      <c r="G171" s="90"/>
      <c r="H171" s="91"/>
    </row>
    <row r="172" spans="1:9" ht="15.75" thickBot="1" x14ac:dyDescent="0.3">
      <c r="A172" s="3" t="s">
        <v>17</v>
      </c>
      <c r="B172" s="6">
        <f>G172*56%</f>
        <v>0</v>
      </c>
      <c r="C172" s="8"/>
      <c r="D172" s="6"/>
      <c r="E172" s="6">
        <f>G172-B172</f>
        <v>0</v>
      </c>
      <c r="F172" s="6"/>
      <c r="G172" s="90">
        <v>0</v>
      </c>
      <c r="H172" s="91"/>
    </row>
    <row r="173" spans="1:9" ht="15.75" thickBot="1" x14ac:dyDescent="0.3">
      <c r="A173" s="3" t="s">
        <v>18</v>
      </c>
      <c r="B173" s="6"/>
      <c r="C173" s="8"/>
      <c r="D173" s="8"/>
      <c r="E173" s="6"/>
      <c r="F173" s="6"/>
      <c r="G173" s="90"/>
      <c r="H173" s="91"/>
    </row>
    <row r="174" spans="1:9" ht="45.75" thickBot="1" x14ac:dyDescent="0.3">
      <c r="A174" s="2" t="s">
        <v>19</v>
      </c>
      <c r="B174" s="6"/>
      <c r="C174" s="8"/>
      <c r="D174" s="6"/>
      <c r="E174" s="6"/>
      <c r="F174" s="6"/>
      <c r="G174" s="94"/>
      <c r="H174" s="95"/>
    </row>
    <row r="175" spans="1:9" ht="30.75" thickBot="1" x14ac:dyDescent="0.3">
      <c r="A175" s="2" t="s">
        <v>20</v>
      </c>
      <c r="B175" s="6"/>
      <c r="C175" s="8"/>
      <c r="D175" s="6"/>
      <c r="E175" s="6">
        <v>15779</v>
      </c>
      <c r="F175" s="6"/>
      <c r="G175" s="90">
        <v>15779</v>
      </c>
      <c r="H175" s="91"/>
    </row>
    <row r="176" spans="1:9" ht="30.75" thickBot="1" x14ac:dyDescent="0.3">
      <c r="A176" s="2" t="s">
        <v>21</v>
      </c>
      <c r="B176" s="6">
        <f>G176*56%</f>
        <v>10452.400000000001</v>
      </c>
      <c r="C176" s="6"/>
      <c r="D176" s="26">
        <f>G176-B176</f>
        <v>8212.5999999999985</v>
      </c>
      <c r="E176" s="8" t="s">
        <v>8</v>
      </c>
      <c r="F176" s="8" t="s">
        <v>8</v>
      </c>
      <c r="G176" s="90">
        <f>18097+568</f>
        <v>18665</v>
      </c>
      <c r="H176" s="91"/>
    </row>
    <row r="177" spans="1:11" ht="15.75" thickBot="1" x14ac:dyDescent="0.3">
      <c r="A177" s="3" t="s">
        <v>22</v>
      </c>
      <c r="B177" s="6">
        <f>G177*56%</f>
        <v>14121.52</v>
      </c>
      <c r="C177" s="6"/>
      <c r="D177" s="31">
        <f>G177-B177</f>
        <v>11095.48</v>
      </c>
      <c r="E177" s="8" t="s">
        <v>8</v>
      </c>
      <c r="F177" s="8" t="s">
        <v>8</v>
      </c>
      <c r="G177" s="90">
        <f>6359+10+3528+15320</f>
        <v>25217</v>
      </c>
      <c r="H177" s="91"/>
    </row>
    <row r="178" spans="1:11" ht="15.75" thickBot="1" x14ac:dyDescent="0.3">
      <c r="A178" s="3" t="s">
        <v>23</v>
      </c>
      <c r="B178" s="8" t="s">
        <v>8</v>
      </c>
      <c r="C178" s="12"/>
      <c r="D178" s="8" t="s">
        <v>8</v>
      </c>
      <c r="E178" s="8" t="s">
        <v>8</v>
      </c>
      <c r="F178" s="8" t="s">
        <v>8</v>
      </c>
      <c r="G178" s="94"/>
      <c r="H178" s="95"/>
    </row>
    <row r="179" spans="1:11" ht="15.75" thickBot="1" x14ac:dyDescent="0.3">
      <c r="A179" s="3" t="s">
        <v>24</v>
      </c>
      <c r="B179" s="6"/>
      <c r="C179" s="6"/>
      <c r="D179" s="6"/>
      <c r="E179" s="8" t="s">
        <v>8</v>
      </c>
      <c r="F179" s="8" t="s">
        <v>8</v>
      </c>
      <c r="G179" s="90"/>
      <c r="H179" s="91"/>
    </row>
    <row r="180" spans="1:11" ht="15.75" thickBot="1" x14ac:dyDescent="0.3">
      <c r="A180" s="4" t="s">
        <v>25</v>
      </c>
      <c r="B180" s="6">
        <f>SUM(B164:B179)</f>
        <v>112209.3</v>
      </c>
      <c r="C180" s="6"/>
      <c r="D180" s="6">
        <f>SUM(D164:D179)</f>
        <v>49193.7</v>
      </c>
      <c r="E180" s="6">
        <f>SUM(E164:E179)</f>
        <v>15779</v>
      </c>
      <c r="F180" s="6"/>
      <c r="G180" s="90">
        <f>SUM(G164:H179)</f>
        <v>177182</v>
      </c>
      <c r="H180" s="91"/>
    </row>
    <row r="181" spans="1:11" x14ac:dyDescent="0.25">
      <c r="A181" s="92" t="s">
        <v>26</v>
      </c>
      <c r="B181" s="92"/>
      <c r="C181" s="92"/>
      <c r="D181" s="92"/>
      <c r="E181" s="92"/>
      <c r="F181" s="92"/>
      <c r="G181" s="92"/>
      <c r="H181" s="92"/>
    </row>
    <row r="182" spans="1:11" x14ac:dyDescent="0.25">
      <c r="A182" s="93" t="s">
        <v>27</v>
      </c>
      <c r="B182" s="93"/>
      <c r="C182" s="93"/>
      <c r="D182" s="93"/>
      <c r="E182" s="93"/>
      <c r="F182" s="93"/>
      <c r="G182" s="93"/>
      <c r="H182" s="93"/>
    </row>
    <row r="183" spans="1:11" x14ac:dyDescent="0.25">
      <c r="A183" s="93" t="s">
        <v>28</v>
      </c>
      <c r="B183" s="93"/>
      <c r="C183" s="93"/>
      <c r="D183" s="93"/>
      <c r="E183" s="93"/>
      <c r="F183" s="93"/>
      <c r="G183" s="93"/>
      <c r="H183" s="93"/>
      <c r="K183" s="10">
        <f>G435-G430</f>
        <v>0</v>
      </c>
    </row>
    <row r="184" spans="1:11" x14ac:dyDescent="0.25">
      <c r="B184" s="10" t="s">
        <v>102</v>
      </c>
      <c r="C184" s="10">
        <v>105173</v>
      </c>
      <c r="K184" s="10">
        <f>K183-244898</f>
        <v>-244898</v>
      </c>
    </row>
    <row r="185" spans="1:11" x14ac:dyDescent="0.25">
      <c r="C185" s="10">
        <f>C184-B180</f>
        <v>-7036.3000000000029</v>
      </c>
    </row>
    <row r="189" spans="1:11" x14ac:dyDescent="0.25">
      <c r="A189" s="22"/>
      <c r="B189" s="23"/>
      <c r="C189" s="23"/>
      <c r="D189" s="23"/>
      <c r="E189" s="112" t="s">
        <v>29</v>
      </c>
      <c r="F189" s="112"/>
      <c r="G189" s="112"/>
      <c r="H189" s="112"/>
    </row>
    <row r="190" spans="1:11" x14ac:dyDescent="0.25">
      <c r="A190" s="113"/>
      <c r="B190" s="114"/>
      <c r="C190" s="114"/>
      <c r="D190" s="115"/>
      <c r="E190" s="115" t="s">
        <v>0</v>
      </c>
      <c r="F190" s="115"/>
      <c r="G190" s="115"/>
      <c r="H190" s="115"/>
    </row>
    <row r="191" spans="1:11" x14ac:dyDescent="0.25">
      <c r="A191" s="113"/>
      <c r="B191" s="114"/>
      <c r="C191" s="114"/>
      <c r="D191" s="115"/>
      <c r="E191" s="128" t="s">
        <v>31</v>
      </c>
      <c r="F191" s="115"/>
      <c r="G191" s="115"/>
      <c r="H191" s="115"/>
    </row>
    <row r="192" spans="1:11" ht="15.75" thickBot="1" x14ac:dyDescent="0.3">
      <c r="A192" s="98" t="s">
        <v>103</v>
      </c>
      <c r="B192" s="98"/>
      <c r="C192" s="98"/>
      <c r="D192" s="98"/>
      <c r="E192" s="98"/>
      <c r="F192" s="98"/>
      <c r="G192" s="98"/>
      <c r="H192" s="98"/>
    </row>
    <row r="193" spans="1:9" x14ac:dyDescent="0.25">
      <c r="A193" s="100" t="s">
        <v>2</v>
      </c>
      <c r="B193" s="103" t="s">
        <v>30</v>
      </c>
      <c r="C193" s="104"/>
      <c r="D193" s="104"/>
      <c r="E193" s="104"/>
      <c r="F193" s="104"/>
      <c r="G193" s="105" t="s">
        <v>3</v>
      </c>
      <c r="H193" s="106"/>
    </row>
    <row r="194" spans="1:9" ht="174" customHeight="1" thickBot="1" x14ac:dyDescent="0.3">
      <c r="A194" s="124"/>
      <c r="B194" s="105" t="s">
        <v>30</v>
      </c>
      <c r="C194" s="105"/>
      <c r="D194" s="15" t="s">
        <v>32</v>
      </c>
      <c r="E194" s="105" t="s">
        <v>4</v>
      </c>
      <c r="F194" s="105"/>
      <c r="G194" s="125"/>
      <c r="H194" s="109"/>
    </row>
    <row r="195" spans="1:9" ht="165.75" thickBot="1" x14ac:dyDescent="0.3">
      <c r="A195" s="102"/>
      <c r="B195" s="14" t="s">
        <v>36</v>
      </c>
      <c r="C195" s="25" t="s">
        <v>5</v>
      </c>
      <c r="D195" s="15" t="s">
        <v>33</v>
      </c>
      <c r="E195" s="25" t="s">
        <v>34</v>
      </c>
      <c r="F195" s="7" t="s">
        <v>35</v>
      </c>
      <c r="G195" s="110"/>
      <c r="H195" s="111"/>
    </row>
    <row r="196" spans="1:9" ht="15.75" thickBot="1" x14ac:dyDescent="0.3">
      <c r="A196" s="24">
        <v>1</v>
      </c>
      <c r="B196" s="7">
        <v>2</v>
      </c>
      <c r="C196" s="11">
        <v>3</v>
      </c>
      <c r="D196" s="7">
        <v>4</v>
      </c>
      <c r="E196" s="11">
        <v>5</v>
      </c>
      <c r="F196" s="7">
        <v>6</v>
      </c>
      <c r="G196" s="96" t="s">
        <v>6</v>
      </c>
      <c r="H196" s="97"/>
    </row>
    <row r="197" spans="1:9" ht="57.75" customHeight="1" thickBot="1" x14ac:dyDescent="0.3">
      <c r="A197" s="2" t="s">
        <v>7</v>
      </c>
      <c r="B197" s="6">
        <f>B198</f>
        <v>65030.35</v>
      </c>
      <c r="C197" s="12"/>
      <c r="D197" s="6">
        <f>D198</f>
        <v>19424.650000000001</v>
      </c>
      <c r="E197" s="8" t="s">
        <v>8</v>
      </c>
      <c r="F197" s="8" t="s">
        <v>8</v>
      </c>
      <c r="G197" s="90">
        <f>87470-1043-2039+67</f>
        <v>84455</v>
      </c>
      <c r="H197" s="91"/>
    </row>
    <row r="198" spans="1:9" ht="15.75" thickBot="1" x14ac:dyDescent="0.3">
      <c r="A198" s="3" t="s">
        <v>9</v>
      </c>
      <c r="B198" s="6">
        <f>G198*77%</f>
        <v>65030.35</v>
      </c>
      <c r="C198" s="12"/>
      <c r="D198" s="26">
        <f>G198-B198</f>
        <v>19424.650000000001</v>
      </c>
      <c r="E198" s="8" t="s">
        <v>8</v>
      </c>
      <c r="F198" s="8" t="s">
        <v>8</v>
      </c>
      <c r="G198" s="90">
        <f>G197</f>
        <v>84455</v>
      </c>
      <c r="H198" s="91"/>
    </row>
    <row r="199" spans="1:9" ht="15.75" thickBot="1" x14ac:dyDescent="0.3">
      <c r="A199" s="2" t="s">
        <v>10</v>
      </c>
      <c r="B199" s="6">
        <v>0</v>
      </c>
      <c r="C199" s="12"/>
      <c r="D199" s="6">
        <v>0</v>
      </c>
      <c r="E199" s="8" t="s">
        <v>8</v>
      </c>
      <c r="F199" s="8" t="s">
        <v>8</v>
      </c>
      <c r="G199" s="90">
        <v>0</v>
      </c>
      <c r="H199" s="91"/>
    </row>
    <row r="200" spans="1:9" ht="60.75" thickBot="1" x14ac:dyDescent="0.3">
      <c r="A200" s="2" t="s">
        <v>11</v>
      </c>
      <c r="B200" s="6">
        <f t="shared" ref="B200" si="5">G200*77%</f>
        <v>29831.34</v>
      </c>
      <c r="C200" s="12"/>
      <c r="D200" s="26">
        <f>G200-B200</f>
        <v>8910.66</v>
      </c>
      <c r="E200" s="8" t="s">
        <v>8</v>
      </c>
      <c r="F200" s="8" t="s">
        <v>8</v>
      </c>
      <c r="G200" s="90">
        <f>39473-731</f>
        <v>38742</v>
      </c>
      <c r="H200" s="91"/>
    </row>
    <row r="201" spans="1:9" ht="30.75" thickBot="1" x14ac:dyDescent="0.3">
      <c r="A201" s="2" t="s">
        <v>12</v>
      </c>
      <c r="B201" s="6">
        <f>G201*77%</f>
        <v>2936.01</v>
      </c>
      <c r="C201" s="12"/>
      <c r="D201" s="26">
        <f>G201-B201</f>
        <v>876.98999999999978</v>
      </c>
      <c r="E201" s="8" t="s">
        <v>8</v>
      </c>
      <c r="F201" s="8" t="s">
        <v>8</v>
      </c>
      <c r="G201" s="90">
        <f>3082+731</f>
        <v>3813</v>
      </c>
      <c r="H201" s="91"/>
      <c r="I201" s="10">
        <f>G198+G200+G201</f>
        <v>127010</v>
      </c>
    </row>
    <row r="202" spans="1:9" ht="15.75" thickBot="1" x14ac:dyDescent="0.3">
      <c r="A202" s="2" t="s">
        <v>13</v>
      </c>
      <c r="B202" s="6">
        <f>G202*56%</f>
        <v>5639.2000000000007</v>
      </c>
      <c r="C202" s="6"/>
      <c r="D202" s="26">
        <f>G202-B202</f>
        <v>4430.7999999999993</v>
      </c>
      <c r="E202" s="8" t="s">
        <v>8</v>
      </c>
      <c r="F202" s="8" t="s">
        <v>8</v>
      </c>
      <c r="G202" s="90">
        <v>10070</v>
      </c>
      <c r="H202" s="91"/>
    </row>
    <row r="203" spans="1:9" ht="30.75" thickBot="1" x14ac:dyDescent="0.3">
      <c r="A203" s="2" t="s">
        <v>14</v>
      </c>
      <c r="B203" s="6">
        <f>G203*56%</f>
        <v>3045.28</v>
      </c>
      <c r="C203" s="6"/>
      <c r="D203" s="26">
        <f>G203-B203</f>
        <v>2392.7199999999998</v>
      </c>
      <c r="E203" s="8" t="s">
        <v>8</v>
      </c>
      <c r="F203" s="8" t="s">
        <v>8</v>
      </c>
      <c r="G203" s="90">
        <f>3191+2247</f>
        <v>5438</v>
      </c>
      <c r="H203" s="91"/>
    </row>
    <row r="204" spans="1:9" ht="45.75" thickBot="1" x14ac:dyDescent="0.3">
      <c r="A204" s="2" t="s">
        <v>15</v>
      </c>
      <c r="B204" s="8" t="s">
        <v>8</v>
      </c>
      <c r="C204" s="8" t="s">
        <v>8</v>
      </c>
      <c r="D204" s="6"/>
      <c r="E204" s="8" t="s">
        <v>8</v>
      </c>
      <c r="F204" s="8" t="s">
        <v>8</v>
      </c>
      <c r="G204" s="90"/>
      <c r="H204" s="91"/>
    </row>
    <row r="205" spans="1:9" ht="15.75" thickBot="1" x14ac:dyDescent="0.3">
      <c r="A205" s="2" t="s">
        <v>16</v>
      </c>
      <c r="B205" s="8" t="s">
        <v>8</v>
      </c>
      <c r="C205" s="8" t="s">
        <v>8</v>
      </c>
      <c r="D205" s="12"/>
      <c r="E205" s="6"/>
      <c r="F205" s="6"/>
      <c r="G205" s="90"/>
      <c r="H205" s="91"/>
    </row>
    <row r="206" spans="1:9" ht="15.75" thickBot="1" x14ac:dyDescent="0.3">
      <c r="A206" s="3" t="s">
        <v>17</v>
      </c>
      <c r="B206" s="6">
        <f>G206*56%</f>
        <v>0</v>
      </c>
      <c r="C206" s="8"/>
      <c r="D206" s="6"/>
      <c r="E206" s="6">
        <f>G206-B206</f>
        <v>0</v>
      </c>
      <c r="F206" s="6"/>
      <c r="G206" s="90">
        <v>0</v>
      </c>
      <c r="H206" s="91"/>
    </row>
    <row r="207" spans="1:9" ht="15.75" thickBot="1" x14ac:dyDescent="0.3">
      <c r="A207" s="3" t="s">
        <v>18</v>
      </c>
      <c r="B207" s="6"/>
      <c r="C207" s="8"/>
      <c r="D207" s="8"/>
      <c r="E207" s="6"/>
      <c r="F207" s="6"/>
      <c r="G207" s="90"/>
      <c r="H207" s="91"/>
    </row>
    <row r="208" spans="1:9" ht="45.75" thickBot="1" x14ac:dyDescent="0.3">
      <c r="A208" s="2" t="s">
        <v>19</v>
      </c>
      <c r="B208" s="6"/>
      <c r="C208" s="8"/>
      <c r="D208" s="6"/>
      <c r="E208" s="6"/>
      <c r="F208" s="6"/>
      <c r="G208" s="94"/>
      <c r="H208" s="95"/>
    </row>
    <row r="209" spans="1:11" ht="30.75" thickBot="1" x14ac:dyDescent="0.3">
      <c r="A209" s="2" t="s">
        <v>20</v>
      </c>
      <c r="B209" s="6"/>
      <c r="C209" s="8"/>
      <c r="D209" s="6"/>
      <c r="E209" s="6">
        <v>18954</v>
      </c>
      <c r="F209" s="6"/>
      <c r="G209" s="90">
        <v>18954</v>
      </c>
      <c r="H209" s="91"/>
    </row>
    <row r="210" spans="1:11" ht="30.75" thickBot="1" x14ac:dyDescent="0.3">
      <c r="A210" s="2" t="s">
        <v>21</v>
      </c>
      <c r="B210" s="6">
        <f>G210*56%</f>
        <v>12274.080000000002</v>
      </c>
      <c r="C210" s="6"/>
      <c r="D210" s="26">
        <f>G210-B210</f>
        <v>9643.9199999999983</v>
      </c>
      <c r="E210" s="8" t="s">
        <v>8</v>
      </c>
      <c r="F210" s="8" t="s">
        <v>8</v>
      </c>
      <c r="G210" s="90">
        <f>21269+649</f>
        <v>21918</v>
      </c>
      <c r="H210" s="91"/>
    </row>
    <row r="211" spans="1:11" ht="15.75" thickBot="1" x14ac:dyDescent="0.3">
      <c r="A211" s="3" t="s">
        <v>22</v>
      </c>
      <c r="B211" s="6">
        <f>G211*56%</f>
        <v>15130.640000000001</v>
      </c>
      <c r="C211" s="6"/>
      <c r="D211" s="31">
        <f>G211-B211</f>
        <v>11888.359999999999</v>
      </c>
      <c r="E211" s="8" t="s">
        <v>8</v>
      </c>
      <c r="F211" s="8" t="s">
        <v>8</v>
      </c>
      <c r="G211" s="90">
        <f>8084+10+3605+15320</f>
        <v>27019</v>
      </c>
      <c r="H211" s="91"/>
    </row>
    <row r="212" spans="1:11" ht="15.75" thickBot="1" x14ac:dyDescent="0.3">
      <c r="A212" s="3" t="s">
        <v>23</v>
      </c>
      <c r="B212" s="8" t="s">
        <v>8</v>
      </c>
      <c r="C212" s="12"/>
      <c r="D212" s="8" t="s">
        <v>8</v>
      </c>
      <c r="E212" s="8" t="s">
        <v>8</v>
      </c>
      <c r="F212" s="8" t="s">
        <v>8</v>
      </c>
      <c r="G212" s="94"/>
      <c r="H212" s="95"/>
    </row>
    <row r="213" spans="1:11" ht="15.75" thickBot="1" x14ac:dyDescent="0.3">
      <c r="A213" s="3" t="s">
        <v>24</v>
      </c>
      <c r="B213" s="6"/>
      <c r="C213" s="6"/>
      <c r="D213" s="6"/>
      <c r="E213" s="8" t="s">
        <v>8</v>
      </c>
      <c r="F213" s="8" t="s">
        <v>8</v>
      </c>
      <c r="G213" s="90"/>
      <c r="H213" s="91"/>
    </row>
    <row r="214" spans="1:11" ht="15.75" thickBot="1" x14ac:dyDescent="0.3">
      <c r="A214" s="4" t="s">
        <v>25</v>
      </c>
      <c r="B214" s="6">
        <f>SUM(B198:B213)</f>
        <v>133886.9</v>
      </c>
      <c r="C214" s="6"/>
      <c r="D214" s="6">
        <f>SUM(D198:D213)</f>
        <v>57568.100000000006</v>
      </c>
      <c r="E214" s="6">
        <f>SUM(E198:E213)</f>
        <v>18954</v>
      </c>
      <c r="F214" s="6"/>
      <c r="G214" s="90">
        <f>SUM(G198:H213)</f>
        <v>210409</v>
      </c>
      <c r="H214" s="91"/>
    </row>
    <row r="215" spans="1:11" x14ac:dyDescent="0.25">
      <c r="A215" s="92" t="s">
        <v>26</v>
      </c>
      <c r="B215" s="92"/>
      <c r="C215" s="92"/>
      <c r="D215" s="92"/>
      <c r="E215" s="92"/>
      <c r="F215" s="92"/>
      <c r="G215" s="92"/>
      <c r="H215" s="92"/>
    </row>
    <row r="216" spans="1:11" x14ac:dyDescent="0.25">
      <c r="A216" s="93" t="s">
        <v>27</v>
      </c>
      <c r="B216" s="93"/>
      <c r="C216" s="93"/>
      <c r="D216" s="93"/>
      <c r="E216" s="93"/>
      <c r="F216" s="93"/>
      <c r="G216" s="93"/>
      <c r="H216" s="93"/>
    </row>
    <row r="217" spans="1:11" x14ac:dyDescent="0.25">
      <c r="A217" s="93" t="s">
        <v>28</v>
      </c>
      <c r="B217" s="93"/>
      <c r="C217" s="93"/>
      <c r="D217" s="93"/>
      <c r="E217" s="93"/>
      <c r="F217" s="93"/>
      <c r="G217" s="93"/>
      <c r="H217" s="93"/>
      <c r="K217" s="10" t="e">
        <f>#REF!-#REF!</f>
        <v>#REF!</v>
      </c>
    </row>
    <row r="218" spans="1:11" x14ac:dyDescent="0.25">
      <c r="B218" s="10" t="s">
        <v>106</v>
      </c>
      <c r="C218" s="10">
        <v>124022</v>
      </c>
      <c r="K218" s="10" t="e">
        <f>K217-244898</f>
        <v>#REF!</v>
      </c>
    </row>
    <row r="219" spans="1:11" x14ac:dyDescent="0.25">
      <c r="C219" s="10">
        <f>C218-B214</f>
        <v>-9864.8999999999942</v>
      </c>
    </row>
    <row r="223" spans="1:11" x14ac:dyDescent="0.25">
      <c r="A223" s="22"/>
      <c r="B223" s="23"/>
      <c r="C223" s="23"/>
      <c r="D223" s="23"/>
      <c r="E223" s="112" t="s">
        <v>29</v>
      </c>
      <c r="F223" s="112"/>
      <c r="G223" s="112"/>
      <c r="H223" s="112"/>
    </row>
    <row r="224" spans="1:11" x14ac:dyDescent="0.25">
      <c r="A224" s="113"/>
      <c r="B224" s="114"/>
      <c r="C224" s="114"/>
      <c r="D224" s="115"/>
      <c r="E224" s="115" t="s">
        <v>0</v>
      </c>
      <c r="F224" s="115"/>
      <c r="G224" s="115"/>
      <c r="H224" s="115"/>
    </row>
    <row r="225" spans="1:9" x14ac:dyDescent="0.25">
      <c r="A225" s="113"/>
      <c r="B225" s="114"/>
      <c r="C225" s="114"/>
      <c r="D225" s="115"/>
      <c r="E225" s="128" t="s">
        <v>31</v>
      </c>
      <c r="F225" s="115"/>
      <c r="G225" s="115"/>
      <c r="H225" s="115"/>
    </row>
    <row r="226" spans="1:9" ht="15.75" thickBot="1" x14ac:dyDescent="0.3">
      <c r="A226" s="98" t="s">
        <v>104</v>
      </c>
      <c r="B226" s="98"/>
      <c r="C226" s="98"/>
      <c r="D226" s="98"/>
      <c r="E226" s="98"/>
      <c r="F226" s="98"/>
      <c r="G226" s="98"/>
      <c r="H226" s="98"/>
    </row>
    <row r="227" spans="1:9" x14ac:dyDescent="0.25">
      <c r="A227" s="100" t="s">
        <v>2</v>
      </c>
      <c r="B227" s="103" t="s">
        <v>30</v>
      </c>
      <c r="C227" s="104"/>
      <c r="D227" s="104"/>
      <c r="E227" s="104"/>
      <c r="F227" s="104"/>
      <c r="G227" s="105" t="s">
        <v>3</v>
      </c>
      <c r="H227" s="106"/>
    </row>
    <row r="228" spans="1:9" ht="174" customHeight="1" thickBot="1" x14ac:dyDescent="0.3">
      <c r="A228" s="124"/>
      <c r="B228" s="105" t="s">
        <v>30</v>
      </c>
      <c r="C228" s="105"/>
      <c r="D228" s="15" t="s">
        <v>32</v>
      </c>
      <c r="E228" s="105" t="s">
        <v>4</v>
      </c>
      <c r="F228" s="105"/>
      <c r="G228" s="125"/>
      <c r="H228" s="109"/>
    </row>
    <row r="229" spans="1:9" ht="165.75" thickBot="1" x14ac:dyDescent="0.3">
      <c r="A229" s="102"/>
      <c r="B229" s="14" t="s">
        <v>36</v>
      </c>
      <c r="C229" s="25" t="s">
        <v>5</v>
      </c>
      <c r="D229" s="15" t="s">
        <v>33</v>
      </c>
      <c r="E229" s="25" t="s">
        <v>34</v>
      </c>
      <c r="F229" s="7" t="s">
        <v>35</v>
      </c>
      <c r="G229" s="110"/>
      <c r="H229" s="111"/>
    </row>
    <row r="230" spans="1:9" ht="15.75" thickBot="1" x14ac:dyDescent="0.3">
      <c r="A230" s="24">
        <v>1</v>
      </c>
      <c r="B230" s="7">
        <v>2</v>
      </c>
      <c r="C230" s="11">
        <v>3</v>
      </c>
      <c r="D230" s="7">
        <v>4</v>
      </c>
      <c r="E230" s="11">
        <v>5</v>
      </c>
      <c r="F230" s="7">
        <v>6</v>
      </c>
      <c r="G230" s="96" t="s">
        <v>6</v>
      </c>
      <c r="H230" s="97"/>
    </row>
    <row r="231" spans="1:9" ht="57.75" customHeight="1" thickBot="1" x14ac:dyDescent="0.3">
      <c r="A231" s="2" t="s">
        <v>7</v>
      </c>
      <c r="B231" s="6">
        <f>B232</f>
        <v>72182.11</v>
      </c>
      <c r="C231" s="12"/>
      <c r="D231" s="6">
        <f>D232</f>
        <v>21560.89</v>
      </c>
      <c r="E231" s="8" t="s">
        <v>8</v>
      </c>
      <c r="F231" s="8" t="s">
        <v>8</v>
      </c>
      <c r="G231" s="90">
        <f>96927-1176-2074+66</f>
        <v>93743</v>
      </c>
      <c r="H231" s="91"/>
    </row>
    <row r="232" spans="1:9" ht="15.75" thickBot="1" x14ac:dyDescent="0.3">
      <c r="A232" s="3" t="s">
        <v>9</v>
      </c>
      <c r="B232" s="6">
        <f>G232*77%</f>
        <v>72182.11</v>
      </c>
      <c r="C232" s="12"/>
      <c r="D232" s="26">
        <f>G232-B232</f>
        <v>21560.89</v>
      </c>
      <c r="E232" s="8" t="s">
        <v>8</v>
      </c>
      <c r="F232" s="8" t="s">
        <v>8</v>
      </c>
      <c r="G232" s="90">
        <f>G231</f>
        <v>93743</v>
      </c>
      <c r="H232" s="91"/>
    </row>
    <row r="233" spans="1:9" ht="15.75" thickBot="1" x14ac:dyDescent="0.3">
      <c r="A233" s="2" t="s">
        <v>10</v>
      </c>
      <c r="B233" s="6">
        <v>0</v>
      </c>
      <c r="C233" s="12"/>
      <c r="D233" s="6">
        <v>0</v>
      </c>
      <c r="E233" s="8" t="s">
        <v>8</v>
      </c>
      <c r="F233" s="8" t="s">
        <v>8</v>
      </c>
      <c r="G233" s="90">
        <v>0</v>
      </c>
      <c r="H233" s="91"/>
    </row>
    <row r="234" spans="1:9" ht="60.75" thickBot="1" x14ac:dyDescent="0.3">
      <c r="A234" s="2" t="s">
        <v>11</v>
      </c>
      <c r="B234" s="6">
        <f t="shared" ref="B234" si="6">G234*77%</f>
        <v>34720.07</v>
      </c>
      <c r="C234" s="12"/>
      <c r="D234" s="26">
        <f>G234-B234</f>
        <v>10370.93</v>
      </c>
      <c r="E234" s="8" t="s">
        <v>8</v>
      </c>
      <c r="F234" s="8" t="s">
        <v>8</v>
      </c>
      <c r="G234" s="90">
        <f>45834-743</f>
        <v>45091</v>
      </c>
      <c r="H234" s="91"/>
    </row>
    <row r="235" spans="1:9" ht="30.75" thickBot="1" x14ac:dyDescent="0.3">
      <c r="A235" s="2" t="s">
        <v>12</v>
      </c>
      <c r="B235" s="6">
        <f>G235*77%</f>
        <v>3075.38</v>
      </c>
      <c r="C235" s="12"/>
      <c r="D235" s="26">
        <f>G235-B235</f>
        <v>918.61999999999989</v>
      </c>
      <c r="E235" s="8" t="s">
        <v>8</v>
      </c>
      <c r="F235" s="8" t="s">
        <v>8</v>
      </c>
      <c r="G235" s="90">
        <f>1176+2075+743</f>
        <v>3994</v>
      </c>
      <c r="H235" s="91"/>
      <c r="I235" s="10">
        <f>G232+G234+G235</f>
        <v>142828</v>
      </c>
    </row>
    <row r="236" spans="1:9" ht="15.75" thickBot="1" x14ac:dyDescent="0.3">
      <c r="A236" s="2" t="s">
        <v>13</v>
      </c>
      <c r="B236" s="6">
        <f>G236*56%</f>
        <v>7473.7600000000011</v>
      </c>
      <c r="C236" s="6"/>
      <c r="D236" s="26">
        <f>G236-B236</f>
        <v>5872.2399999999989</v>
      </c>
      <c r="E236" s="8" t="s">
        <v>8</v>
      </c>
      <c r="F236" s="8" t="s">
        <v>8</v>
      </c>
      <c r="G236" s="90">
        <v>13346</v>
      </c>
      <c r="H236" s="91"/>
    </row>
    <row r="237" spans="1:9" ht="30.75" thickBot="1" x14ac:dyDescent="0.3">
      <c r="A237" s="2" t="s">
        <v>14</v>
      </c>
      <c r="B237" s="6">
        <f>G237*56%</f>
        <v>3152.8</v>
      </c>
      <c r="C237" s="6"/>
      <c r="D237" s="26">
        <f>G237-B237</f>
        <v>2477.1999999999998</v>
      </c>
      <c r="E237" s="8" t="s">
        <v>8</v>
      </c>
      <c r="F237" s="8" t="s">
        <v>8</v>
      </c>
      <c r="G237" s="90">
        <f>3383+2247</f>
        <v>5630</v>
      </c>
      <c r="H237" s="91"/>
    </row>
    <row r="238" spans="1:9" ht="45.75" thickBot="1" x14ac:dyDescent="0.3">
      <c r="A238" s="2" t="s">
        <v>15</v>
      </c>
      <c r="B238" s="8" t="s">
        <v>8</v>
      </c>
      <c r="C238" s="8" t="s">
        <v>8</v>
      </c>
      <c r="D238" s="6"/>
      <c r="E238" s="8" t="s">
        <v>8</v>
      </c>
      <c r="F238" s="8" t="s">
        <v>8</v>
      </c>
      <c r="G238" s="90"/>
      <c r="H238" s="91"/>
    </row>
    <row r="239" spans="1:9" ht="15.75" thickBot="1" x14ac:dyDescent="0.3">
      <c r="A239" s="2" t="s">
        <v>16</v>
      </c>
      <c r="B239" s="8" t="s">
        <v>8</v>
      </c>
      <c r="C239" s="8" t="s">
        <v>8</v>
      </c>
      <c r="D239" s="12"/>
      <c r="E239" s="6"/>
      <c r="F239" s="6"/>
      <c r="G239" s="90"/>
      <c r="H239" s="91"/>
    </row>
    <row r="240" spans="1:9" ht="15.75" thickBot="1" x14ac:dyDescent="0.3">
      <c r="A240" s="3" t="s">
        <v>17</v>
      </c>
      <c r="B240" s="6">
        <f>G240*56%</f>
        <v>0</v>
      </c>
      <c r="C240" s="8"/>
      <c r="D240" s="6"/>
      <c r="E240" s="6">
        <f>G240-B240</f>
        <v>0</v>
      </c>
      <c r="F240" s="6"/>
      <c r="G240" s="90">
        <v>0</v>
      </c>
      <c r="H240" s="91"/>
    </row>
    <row r="241" spans="1:11" ht="15.75" thickBot="1" x14ac:dyDescent="0.3">
      <c r="A241" s="3" t="s">
        <v>18</v>
      </c>
      <c r="B241" s="6"/>
      <c r="C241" s="8"/>
      <c r="D241" s="8"/>
      <c r="E241" s="6"/>
      <c r="F241" s="6"/>
      <c r="G241" s="90"/>
      <c r="H241" s="91"/>
    </row>
    <row r="242" spans="1:11" ht="45.75" thickBot="1" x14ac:dyDescent="0.3">
      <c r="A242" s="2" t="s">
        <v>19</v>
      </c>
      <c r="B242" s="6"/>
      <c r="C242" s="8"/>
      <c r="D242" s="6"/>
      <c r="E242" s="6"/>
      <c r="F242" s="6"/>
      <c r="G242" s="94"/>
      <c r="H242" s="95"/>
    </row>
    <row r="243" spans="1:11" ht="30.75" thickBot="1" x14ac:dyDescent="0.3">
      <c r="A243" s="2" t="s">
        <v>20</v>
      </c>
      <c r="B243" s="6"/>
      <c r="C243" s="8"/>
      <c r="D243" s="6"/>
      <c r="E243" s="6">
        <v>22128</v>
      </c>
      <c r="F243" s="6"/>
      <c r="G243" s="90">
        <v>22128</v>
      </c>
      <c r="H243" s="91"/>
    </row>
    <row r="244" spans="1:11" ht="30.75" thickBot="1" x14ac:dyDescent="0.3">
      <c r="A244" s="2" t="s">
        <v>21</v>
      </c>
      <c r="B244" s="6">
        <f>G244*56%</f>
        <v>12863.760000000002</v>
      </c>
      <c r="C244" s="6"/>
      <c r="D244" s="26">
        <f>G244-B244</f>
        <v>10107.239999999998</v>
      </c>
      <c r="E244" s="8" t="s">
        <v>8</v>
      </c>
      <c r="F244" s="8" t="s">
        <v>8</v>
      </c>
      <c r="G244" s="90">
        <f>22322+80+569</f>
        <v>22971</v>
      </c>
      <c r="H244" s="91"/>
    </row>
    <row r="245" spans="1:11" ht="15.75" thickBot="1" x14ac:dyDescent="0.3">
      <c r="A245" s="3" t="s">
        <v>22</v>
      </c>
      <c r="B245" s="6">
        <f>G245*56%</f>
        <v>16068.640000000001</v>
      </c>
      <c r="C245" s="6"/>
      <c r="D245" s="31">
        <f>G245-B245</f>
        <v>12625.359999999999</v>
      </c>
      <c r="E245" s="8" t="s">
        <v>8</v>
      </c>
      <c r="F245" s="8" t="s">
        <v>8</v>
      </c>
      <c r="G245" s="90">
        <f>9735+10+3629+15320</f>
        <v>28694</v>
      </c>
      <c r="H245" s="91"/>
    </row>
    <row r="246" spans="1:11" ht="15.75" thickBot="1" x14ac:dyDescent="0.3">
      <c r="A246" s="3" t="s">
        <v>23</v>
      </c>
      <c r="B246" s="8" t="s">
        <v>8</v>
      </c>
      <c r="C246" s="12"/>
      <c r="D246" s="8" t="s">
        <v>8</v>
      </c>
      <c r="E246" s="8" t="s">
        <v>8</v>
      </c>
      <c r="F246" s="8" t="s">
        <v>8</v>
      </c>
      <c r="G246" s="94"/>
      <c r="H246" s="95"/>
    </row>
    <row r="247" spans="1:11" ht="15.75" thickBot="1" x14ac:dyDescent="0.3">
      <c r="A247" s="3" t="s">
        <v>24</v>
      </c>
      <c r="B247" s="6"/>
      <c r="C247" s="6"/>
      <c r="D247" s="6"/>
      <c r="E247" s="8" t="s">
        <v>8</v>
      </c>
      <c r="F247" s="8" t="s">
        <v>8</v>
      </c>
      <c r="G247" s="90"/>
      <c r="H247" s="91"/>
    </row>
    <row r="248" spans="1:11" ht="15.75" thickBot="1" x14ac:dyDescent="0.3">
      <c r="A248" s="4" t="s">
        <v>25</v>
      </c>
      <c r="B248" s="6">
        <f>SUM(B232:B247)</f>
        <v>149536.52000000002</v>
      </c>
      <c r="C248" s="6"/>
      <c r="D248" s="6">
        <f>SUM(D232:D247)</f>
        <v>63932.479999999996</v>
      </c>
      <c r="E248" s="6">
        <f>SUM(E232:E247)</f>
        <v>22128</v>
      </c>
      <c r="F248" s="6"/>
      <c r="G248" s="90">
        <f>SUM(G232:H247)</f>
        <v>235597</v>
      </c>
      <c r="H248" s="91"/>
    </row>
    <row r="249" spans="1:11" x14ac:dyDescent="0.25">
      <c r="A249" s="92" t="s">
        <v>26</v>
      </c>
      <c r="B249" s="92"/>
      <c r="C249" s="92"/>
      <c r="D249" s="92"/>
      <c r="E249" s="92"/>
      <c r="F249" s="92"/>
      <c r="G249" s="92"/>
      <c r="H249" s="92"/>
    </row>
    <row r="250" spans="1:11" x14ac:dyDescent="0.25">
      <c r="A250" s="93" t="s">
        <v>27</v>
      </c>
      <c r="B250" s="93"/>
      <c r="C250" s="93"/>
      <c r="D250" s="93"/>
      <c r="E250" s="93"/>
      <c r="F250" s="93"/>
      <c r="G250" s="93"/>
      <c r="H250" s="93"/>
    </row>
    <row r="251" spans="1:11" x14ac:dyDescent="0.25">
      <c r="A251" s="93" t="s">
        <v>28</v>
      </c>
      <c r="B251" s="93"/>
      <c r="C251" s="93"/>
      <c r="D251" s="93"/>
      <c r="E251" s="93"/>
      <c r="F251" s="93"/>
      <c r="G251" s="93"/>
      <c r="H251" s="93"/>
      <c r="K251" s="10" t="e">
        <f>#REF!-#REF!</f>
        <v>#REF!</v>
      </c>
    </row>
    <row r="252" spans="1:11" x14ac:dyDescent="0.25">
      <c r="B252" s="10" t="s">
        <v>105</v>
      </c>
      <c r="C252" s="10">
        <v>140012</v>
      </c>
      <c r="K252" s="10" t="e">
        <f>K251-244898</f>
        <v>#REF!</v>
      </c>
    </row>
    <row r="253" spans="1:11" x14ac:dyDescent="0.25">
      <c r="C253" s="10">
        <f>C252-B248</f>
        <v>-9524.5200000000186</v>
      </c>
    </row>
    <row r="257" spans="1:9" x14ac:dyDescent="0.25">
      <c r="A257" s="22"/>
      <c r="B257" s="23"/>
      <c r="C257" s="23"/>
      <c r="D257" s="23"/>
      <c r="E257" s="112" t="s">
        <v>29</v>
      </c>
      <c r="F257" s="112"/>
      <c r="G257" s="112"/>
      <c r="H257" s="112"/>
    </row>
    <row r="258" spans="1:9" x14ac:dyDescent="0.25">
      <c r="A258" s="113"/>
      <c r="B258" s="114"/>
      <c r="C258" s="114"/>
      <c r="D258" s="115"/>
      <c r="E258" s="115" t="s">
        <v>0</v>
      </c>
      <c r="F258" s="115"/>
      <c r="G258" s="115"/>
      <c r="H258" s="115"/>
    </row>
    <row r="259" spans="1:9" x14ac:dyDescent="0.25">
      <c r="A259" s="113"/>
      <c r="B259" s="114"/>
      <c r="C259" s="114"/>
      <c r="D259" s="115"/>
      <c r="E259" s="128" t="s">
        <v>31</v>
      </c>
      <c r="F259" s="115"/>
      <c r="G259" s="115"/>
      <c r="H259" s="115"/>
    </row>
    <row r="260" spans="1:9" ht="15.75" thickBot="1" x14ac:dyDescent="0.3">
      <c r="A260" s="98" t="s">
        <v>107</v>
      </c>
      <c r="B260" s="98"/>
      <c r="C260" s="98"/>
      <c r="D260" s="98"/>
      <c r="E260" s="98"/>
      <c r="F260" s="98"/>
      <c r="G260" s="98"/>
      <c r="H260" s="98"/>
    </row>
    <row r="261" spans="1:9" x14ac:dyDescent="0.25">
      <c r="A261" s="100" t="s">
        <v>2</v>
      </c>
      <c r="B261" s="103" t="s">
        <v>30</v>
      </c>
      <c r="C261" s="104"/>
      <c r="D261" s="104"/>
      <c r="E261" s="104"/>
      <c r="F261" s="104"/>
      <c r="G261" s="105" t="s">
        <v>3</v>
      </c>
      <c r="H261" s="106"/>
    </row>
    <row r="262" spans="1:9" ht="174" customHeight="1" thickBot="1" x14ac:dyDescent="0.3">
      <c r="A262" s="124"/>
      <c r="B262" s="105" t="s">
        <v>30</v>
      </c>
      <c r="C262" s="105"/>
      <c r="D262" s="15" t="s">
        <v>32</v>
      </c>
      <c r="E262" s="105" t="s">
        <v>4</v>
      </c>
      <c r="F262" s="105"/>
      <c r="G262" s="125"/>
      <c r="H262" s="109"/>
    </row>
    <row r="263" spans="1:9" ht="165.75" thickBot="1" x14ac:dyDescent="0.3">
      <c r="A263" s="102"/>
      <c r="B263" s="14" t="s">
        <v>36</v>
      </c>
      <c r="C263" s="25" t="s">
        <v>5</v>
      </c>
      <c r="D263" s="15" t="s">
        <v>33</v>
      </c>
      <c r="E263" s="25" t="s">
        <v>34</v>
      </c>
      <c r="F263" s="7" t="s">
        <v>35</v>
      </c>
      <c r="G263" s="110"/>
      <c r="H263" s="111"/>
    </row>
    <row r="264" spans="1:9" ht="15.75" thickBot="1" x14ac:dyDescent="0.3">
      <c r="A264" s="24">
        <v>1</v>
      </c>
      <c r="B264" s="7">
        <v>2</v>
      </c>
      <c r="C264" s="11">
        <v>3</v>
      </c>
      <c r="D264" s="7">
        <v>4</v>
      </c>
      <c r="E264" s="11">
        <v>5</v>
      </c>
      <c r="F264" s="7">
        <v>6</v>
      </c>
      <c r="G264" s="96" t="s">
        <v>6</v>
      </c>
      <c r="H264" s="97"/>
    </row>
    <row r="265" spans="1:9" ht="57.75" customHeight="1" thickBot="1" x14ac:dyDescent="0.3">
      <c r="A265" s="2" t="s">
        <v>7</v>
      </c>
      <c r="B265" s="6">
        <f>B266</f>
        <v>79884.42</v>
      </c>
      <c r="C265" s="12"/>
      <c r="D265" s="6">
        <f>D266</f>
        <v>23861.58</v>
      </c>
      <c r="E265" s="8" t="s">
        <v>8</v>
      </c>
      <c r="F265" s="8" t="s">
        <v>8</v>
      </c>
      <c r="G265" s="90">
        <f>106933-1179-2075+67</f>
        <v>103746</v>
      </c>
      <c r="H265" s="91"/>
    </row>
    <row r="266" spans="1:9" ht="15.75" thickBot="1" x14ac:dyDescent="0.3">
      <c r="A266" s="3" t="s">
        <v>9</v>
      </c>
      <c r="B266" s="6">
        <f>G266*77%</f>
        <v>79884.42</v>
      </c>
      <c r="C266" s="12"/>
      <c r="D266" s="26">
        <f>G266-B266</f>
        <v>23861.58</v>
      </c>
      <c r="E266" s="8" t="s">
        <v>8</v>
      </c>
      <c r="F266" s="8" t="s">
        <v>8</v>
      </c>
      <c r="G266" s="90">
        <f>G265</f>
        <v>103746</v>
      </c>
      <c r="H266" s="91"/>
    </row>
    <row r="267" spans="1:9" ht="15.75" thickBot="1" x14ac:dyDescent="0.3">
      <c r="A267" s="2" t="s">
        <v>10</v>
      </c>
      <c r="B267" s="6">
        <v>0</v>
      </c>
      <c r="C267" s="12"/>
      <c r="D267" s="6">
        <v>0</v>
      </c>
      <c r="E267" s="8" t="s">
        <v>8</v>
      </c>
      <c r="F267" s="8" t="s">
        <v>8</v>
      </c>
      <c r="G267" s="90">
        <v>0</v>
      </c>
      <c r="H267" s="91"/>
    </row>
    <row r="268" spans="1:9" ht="60.75" thickBot="1" x14ac:dyDescent="0.3">
      <c r="A268" s="2" t="s">
        <v>11</v>
      </c>
      <c r="B268" s="6">
        <f t="shared" ref="B268" si="7">G268*77%</f>
        <v>40209.4</v>
      </c>
      <c r="C268" s="12"/>
      <c r="D268" s="26">
        <f>G268-B268</f>
        <v>12010.599999999999</v>
      </c>
      <c r="E268" s="8" t="s">
        <v>8</v>
      </c>
      <c r="F268" s="8" t="s">
        <v>8</v>
      </c>
      <c r="G268" s="90">
        <f>52993-773</f>
        <v>52220</v>
      </c>
      <c r="H268" s="91"/>
    </row>
    <row r="269" spans="1:9" ht="30.75" thickBot="1" x14ac:dyDescent="0.3">
      <c r="A269" s="2" t="s">
        <v>12</v>
      </c>
      <c r="B269" s="6">
        <f>G269*77%</f>
        <v>3100.79</v>
      </c>
      <c r="C269" s="12"/>
      <c r="D269" s="26">
        <f>G269-B269</f>
        <v>926.21</v>
      </c>
      <c r="E269" s="8" t="s">
        <v>8</v>
      </c>
      <c r="F269" s="8" t="s">
        <v>8</v>
      </c>
      <c r="G269" s="90">
        <f>1179+2075+773</f>
        <v>4027</v>
      </c>
      <c r="H269" s="91"/>
      <c r="I269" s="10">
        <f>G266+G268+G269</f>
        <v>159993</v>
      </c>
    </row>
    <row r="270" spans="1:9" ht="15.75" thickBot="1" x14ac:dyDescent="0.3">
      <c r="A270" s="2" t="s">
        <v>13</v>
      </c>
      <c r="B270" s="6">
        <f>G270*56%</f>
        <v>8611.1200000000008</v>
      </c>
      <c r="C270" s="6"/>
      <c r="D270" s="26">
        <f>G270-B270</f>
        <v>6765.8799999999992</v>
      </c>
      <c r="E270" s="8" t="s">
        <v>8</v>
      </c>
      <c r="F270" s="8" t="s">
        <v>8</v>
      </c>
      <c r="G270" s="90">
        <v>15377</v>
      </c>
      <c r="H270" s="91"/>
    </row>
    <row r="271" spans="1:9" ht="30.75" thickBot="1" x14ac:dyDescent="0.3">
      <c r="A271" s="2" t="s">
        <v>14</v>
      </c>
      <c r="B271" s="6">
        <f>G271*56%</f>
        <v>3197.6000000000004</v>
      </c>
      <c r="C271" s="6"/>
      <c r="D271" s="26">
        <f>G271-B271</f>
        <v>2512.3999999999996</v>
      </c>
      <c r="E271" s="8" t="s">
        <v>8</v>
      </c>
      <c r="F271" s="8" t="s">
        <v>8</v>
      </c>
      <c r="G271" s="90">
        <f>3383+2327</f>
        <v>5710</v>
      </c>
      <c r="H271" s="91"/>
    </row>
    <row r="272" spans="1:9" ht="45.75" thickBot="1" x14ac:dyDescent="0.3">
      <c r="A272" s="2" t="s">
        <v>15</v>
      </c>
      <c r="B272" s="8" t="s">
        <v>8</v>
      </c>
      <c r="C272" s="8" t="s">
        <v>8</v>
      </c>
      <c r="D272" s="6"/>
      <c r="E272" s="8" t="s">
        <v>8</v>
      </c>
      <c r="F272" s="8" t="s">
        <v>8</v>
      </c>
      <c r="G272" s="90"/>
      <c r="H272" s="91"/>
    </row>
    <row r="273" spans="1:11" ht="15.75" thickBot="1" x14ac:dyDescent="0.3">
      <c r="A273" s="2" t="s">
        <v>16</v>
      </c>
      <c r="B273" s="8" t="s">
        <v>8</v>
      </c>
      <c r="C273" s="8" t="s">
        <v>8</v>
      </c>
      <c r="D273" s="12"/>
      <c r="E273" s="6"/>
      <c r="F273" s="6"/>
      <c r="G273" s="90"/>
      <c r="H273" s="91"/>
    </row>
    <row r="274" spans="1:11" ht="15.75" thickBot="1" x14ac:dyDescent="0.3">
      <c r="A274" s="3" t="s">
        <v>17</v>
      </c>
      <c r="B274" s="6">
        <f>G274*56%</f>
        <v>0</v>
      </c>
      <c r="C274" s="8"/>
      <c r="D274" s="6"/>
      <c r="E274" s="6">
        <f>G274-B274</f>
        <v>0</v>
      </c>
      <c r="F274" s="6"/>
      <c r="G274" s="90">
        <v>0</v>
      </c>
      <c r="H274" s="91"/>
    </row>
    <row r="275" spans="1:11" ht="15.75" thickBot="1" x14ac:dyDescent="0.3">
      <c r="A275" s="3" t="s">
        <v>18</v>
      </c>
      <c r="B275" s="6"/>
      <c r="C275" s="8"/>
      <c r="D275" s="8"/>
      <c r="E275" s="6"/>
      <c r="F275" s="6"/>
      <c r="G275" s="90"/>
      <c r="H275" s="91"/>
    </row>
    <row r="276" spans="1:11" ht="45.75" thickBot="1" x14ac:dyDescent="0.3">
      <c r="A276" s="2" t="s">
        <v>19</v>
      </c>
      <c r="B276" s="6"/>
      <c r="C276" s="8"/>
      <c r="D276" s="6"/>
      <c r="E276" s="6"/>
      <c r="F276" s="6"/>
      <c r="G276" s="94"/>
      <c r="H276" s="95"/>
    </row>
    <row r="277" spans="1:11" ht="30.75" thickBot="1" x14ac:dyDescent="0.3">
      <c r="A277" s="2" t="s">
        <v>20</v>
      </c>
      <c r="B277" s="6"/>
      <c r="C277" s="8"/>
      <c r="D277" s="6"/>
      <c r="E277" s="6">
        <v>25303</v>
      </c>
      <c r="F277" s="6"/>
      <c r="G277" s="90">
        <v>25303</v>
      </c>
      <c r="H277" s="91"/>
    </row>
    <row r="278" spans="1:11" ht="30.75" thickBot="1" x14ac:dyDescent="0.3">
      <c r="A278" s="2" t="s">
        <v>21</v>
      </c>
      <c r="B278" s="6">
        <f>G278*56%</f>
        <v>14236.320000000002</v>
      </c>
      <c r="C278" s="6"/>
      <c r="D278" s="26">
        <f>G278-B278</f>
        <v>11185.679999999998</v>
      </c>
      <c r="E278" s="8" t="s">
        <v>8</v>
      </c>
      <c r="F278" s="8" t="s">
        <v>8</v>
      </c>
      <c r="G278" s="90">
        <f>24612+810</f>
        <v>25422</v>
      </c>
      <c r="H278" s="91"/>
    </row>
    <row r="279" spans="1:11" ht="15.75" thickBot="1" x14ac:dyDescent="0.3">
      <c r="A279" s="3" t="s">
        <v>22</v>
      </c>
      <c r="B279" s="6">
        <f>G279*56%</f>
        <v>17025.68</v>
      </c>
      <c r="C279" s="6"/>
      <c r="D279" s="31">
        <f>G279-B279</f>
        <v>13377.32</v>
      </c>
      <c r="E279" s="8" t="s">
        <v>8</v>
      </c>
      <c r="F279" s="8" t="s">
        <v>8</v>
      </c>
      <c r="G279" s="90">
        <f>15320+11424+10+3649</f>
        <v>30403</v>
      </c>
      <c r="H279" s="91"/>
    </row>
    <row r="280" spans="1:11" ht="15.75" thickBot="1" x14ac:dyDescent="0.3">
      <c r="A280" s="3" t="s">
        <v>23</v>
      </c>
      <c r="B280" s="8" t="s">
        <v>8</v>
      </c>
      <c r="C280" s="12"/>
      <c r="D280" s="8" t="s">
        <v>8</v>
      </c>
      <c r="E280" s="8" t="s">
        <v>8</v>
      </c>
      <c r="F280" s="8" t="s">
        <v>8</v>
      </c>
      <c r="G280" s="94"/>
      <c r="H280" s="95"/>
    </row>
    <row r="281" spans="1:11" ht="15.75" thickBot="1" x14ac:dyDescent="0.3">
      <c r="A281" s="3" t="s">
        <v>24</v>
      </c>
      <c r="B281" s="6"/>
      <c r="C281" s="6"/>
      <c r="D281" s="6"/>
      <c r="E281" s="8" t="s">
        <v>8</v>
      </c>
      <c r="F281" s="8" t="s">
        <v>8</v>
      </c>
      <c r="G281" s="90"/>
      <c r="H281" s="91"/>
    </row>
    <row r="282" spans="1:11" ht="15.75" thickBot="1" x14ac:dyDescent="0.3">
      <c r="A282" s="4" t="s">
        <v>25</v>
      </c>
      <c r="B282" s="6">
        <f>SUM(B266:B281)</f>
        <v>166265.33000000002</v>
      </c>
      <c r="C282" s="6"/>
      <c r="D282" s="6">
        <f>SUM(D266:D281)</f>
        <v>70639.67</v>
      </c>
      <c r="E282" s="6">
        <f>SUM(E266:E281)</f>
        <v>25303</v>
      </c>
      <c r="F282" s="6"/>
      <c r="G282" s="90">
        <f>SUM(G266:H281)</f>
        <v>262208</v>
      </c>
      <c r="H282" s="91"/>
    </row>
    <row r="283" spans="1:11" x14ac:dyDescent="0.25">
      <c r="A283" s="92" t="s">
        <v>26</v>
      </c>
      <c r="B283" s="92"/>
      <c r="C283" s="92"/>
      <c r="D283" s="92"/>
      <c r="E283" s="92"/>
      <c r="F283" s="92"/>
      <c r="G283" s="92"/>
      <c r="H283" s="92"/>
    </row>
    <row r="284" spans="1:11" x14ac:dyDescent="0.25">
      <c r="A284" s="93" t="s">
        <v>27</v>
      </c>
      <c r="B284" s="93"/>
      <c r="C284" s="93"/>
      <c r="D284" s="93"/>
      <c r="E284" s="93"/>
      <c r="F284" s="93"/>
      <c r="G284" s="93"/>
      <c r="H284" s="93"/>
    </row>
    <row r="285" spans="1:11" x14ac:dyDescent="0.25">
      <c r="A285" s="93" t="s">
        <v>28</v>
      </c>
      <c r="B285" s="93"/>
      <c r="C285" s="93"/>
      <c r="D285" s="93"/>
      <c r="E285" s="93"/>
      <c r="F285" s="93"/>
      <c r="G285" s="93"/>
      <c r="H285" s="93"/>
      <c r="K285" s="10" t="e">
        <f>#REF!-#REF!</f>
        <v>#REF!</v>
      </c>
    </row>
    <row r="286" spans="1:11" x14ac:dyDescent="0.25">
      <c r="B286" s="10" t="s">
        <v>108</v>
      </c>
      <c r="C286" s="10">
        <v>157760</v>
      </c>
      <c r="K286" s="10" t="e">
        <f>K285-244898</f>
        <v>#REF!</v>
      </c>
    </row>
    <row r="287" spans="1:11" x14ac:dyDescent="0.25">
      <c r="C287" s="10">
        <f>C286-B282</f>
        <v>-8505.3300000000163</v>
      </c>
    </row>
    <row r="299" spans="1:8" x14ac:dyDescent="0.25">
      <c r="A299" s="22"/>
      <c r="B299" s="23"/>
      <c r="C299" s="23"/>
      <c r="D299" s="23"/>
      <c r="E299" s="112" t="s">
        <v>29</v>
      </c>
      <c r="F299" s="112"/>
      <c r="G299" s="112"/>
      <c r="H299" s="112"/>
    </row>
    <row r="300" spans="1:8" x14ac:dyDescent="0.25">
      <c r="A300" s="113"/>
      <c r="B300" s="114"/>
      <c r="C300" s="114"/>
      <c r="D300" s="115"/>
      <c r="E300" s="115" t="s">
        <v>0</v>
      </c>
      <c r="F300" s="115"/>
      <c r="G300" s="115"/>
      <c r="H300" s="115"/>
    </row>
    <row r="301" spans="1:8" x14ac:dyDescent="0.25">
      <c r="A301" s="113"/>
      <c r="B301" s="114"/>
      <c r="C301" s="114"/>
      <c r="D301" s="115"/>
      <c r="E301" s="126" t="s">
        <v>31</v>
      </c>
      <c r="F301" s="115"/>
      <c r="G301" s="115"/>
      <c r="H301" s="115"/>
    </row>
    <row r="302" spans="1:8" ht="15.75" thickBot="1" x14ac:dyDescent="0.3">
      <c r="A302" s="98" t="s">
        <v>38</v>
      </c>
      <c r="B302" s="98"/>
      <c r="C302" s="98"/>
      <c r="D302" s="98"/>
      <c r="E302" s="98"/>
      <c r="F302" s="98"/>
      <c r="G302" s="99"/>
      <c r="H302" s="99"/>
    </row>
    <row r="303" spans="1:8" x14ac:dyDescent="0.25">
      <c r="A303" s="100" t="s">
        <v>2</v>
      </c>
      <c r="B303" s="103" t="s">
        <v>30</v>
      </c>
      <c r="C303" s="104"/>
      <c r="D303" s="104"/>
      <c r="E303" s="104"/>
      <c r="F303" s="104"/>
      <c r="G303" s="105" t="s">
        <v>3</v>
      </c>
      <c r="H303" s="106"/>
    </row>
    <row r="304" spans="1:8" ht="180.75" thickBot="1" x14ac:dyDescent="0.3">
      <c r="A304" s="124"/>
      <c r="B304" s="105" t="s">
        <v>30</v>
      </c>
      <c r="C304" s="105"/>
      <c r="D304" s="15" t="s">
        <v>32</v>
      </c>
      <c r="E304" s="105" t="s">
        <v>4</v>
      </c>
      <c r="F304" s="105"/>
      <c r="G304" s="125"/>
      <c r="H304" s="109"/>
    </row>
    <row r="305" spans="1:11" ht="165.75" thickBot="1" x14ac:dyDescent="0.3">
      <c r="A305" s="102"/>
      <c r="B305" s="14" t="s">
        <v>36</v>
      </c>
      <c r="C305" s="25" t="s">
        <v>5</v>
      </c>
      <c r="D305" s="15" t="s">
        <v>33</v>
      </c>
      <c r="E305" s="25" t="s">
        <v>34</v>
      </c>
      <c r="F305" s="7" t="s">
        <v>35</v>
      </c>
      <c r="G305" s="110"/>
      <c r="H305" s="111"/>
    </row>
    <row r="306" spans="1:11" ht="15.75" thickBot="1" x14ac:dyDescent="0.3">
      <c r="A306" s="24">
        <v>1</v>
      </c>
      <c r="B306" s="7">
        <v>2</v>
      </c>
      <c r="C306" s="16">
        <v>3</v>
      </c>
      <c r="D306" s="25">
        <v>4</v>
      </c>
      <c r="E306" s="11">
        <v>5</v>
      </c>
      <c r="F306" s="7">
        <v>6</v>
      </c>
      <c r="G306" s="96" t="s">
        <v>37</v>
      </c>
      <c r="H306" s="97"/>
    </row>
    <row r="307" spans="1:11" ht="60.75" thickBot="1" x14ac:dyDescent="0.3">
      <c r="A307" s="2" t="s">
        <v>7</v>
      </c>
      <c r="B307" s="6">
        <f>B308</f>
        <v>89089.48</v>
      </c>
      <c r="C307" s="12"/>
      <c r="D307" s="6">
        <f>D308</f>
        <v>28133.520000000004</v>
      </c>
      <c r="E307" s="8" t="s">
        <v>8</v>
      </c>
      <c r="F307" s="8" t="s">
        <v>8</v>
      </c>
      <c r="G307" s="90">
        <f>120510-1278-2075+66</f>
        <v>117223</v>
      </c>
      <c r="H307" s="91"/>
    </row>
    <row r="308" spans="1:11" ht="15.75" thickBot="1" x14ac:dyDescent="0.3">
      <c r="A308" s="3" t="s">
        <v>9</v>
      </c>
      <c r="B308" s="6">
        <f>G308*76%</f>
        <v>89089.48</v>
      </c>
      <c r="C308" s="12"/>
      <c r="D308" s="26">
        <f>G308-B308</f>
        <v>28133.520000000004</v>
      </c>
      <c r="E308" s="8" t="s">
        <v>8</v>
      </c>
      <c r="F308" s="8" t="s">
        <v>8</v>
      </c>
      <c r="G308" s="90">
        <f>G307</f>
        <v>117223</v>
      </c>
      <c r="H308" s="91"/>
    </row>
    <row r="309" spans="1:11" ht="15.75" thickBot="1" x14ac:dyDescent="0.3">
      <c r="A309" s="2" t="s">
        <v>10</v>
      </c>
      <c r="B309" s="6">
        <v>0</v>
      </c>
      <c r="C309" s="12"/>
      <c r="D309" s="6">
        <v>0</v>
      </c>
      <c r="E309" s="8" t="s">
        <v>8</v>
      </c>
      <c r="F309" s="8" t="s">
        <v>8</v>
      </c>
      <c r="G309" s="90">
        <v>0</v>
      </c>
      <c r="H309" s="91"/>
    </row>
    <row r="310" spans="1:11" ht="60.75" thickBot="1" x14ac:dyDescent="0.3">
      <c r="A310" s="2" t="s">
        <v>11</v>
      </c>
      <c r="B310" s="6">
        <f>G310*76%</f>
        <v>45329.440000000002</v>
      </c>
      <c r="C310" s="12"/>
      <c r="D310" s="26">
        <f>G310-B310</f>
        <v>14314.559999999998</v>
      </c>
      <c r="E310" s="8" t="s">
        <v>8</v>
      </c>
      <c r="F310" s="8" t="s">
        <v>8</v>
      </c>
      <c r="G310" s="90">
        <f>60472-828</f>
        <v>59644</v>
      </c>
      <c r="H310" s="91"/>
    </row>
    <row r="311" spans="1:11" ht="30.75" thickBot="1" x14ac:dyDescent="0.3">
      <c r="A311" s="2" t="s">
        <v>12</v>
      </c>
      <c r="B311" s="6">
        <f>G311*76%</f>
        <v>3177.56</v>
      </c>
      <c r="C311" s="12"/>
      <c r="D311" s="26">
        <f>G311-B311</f>
        <v>1003.44</v>
      </c>
      <c r="E311" s="8" t="s">
        <v>8</v>
      </c>
      <c r="F311" s="8" t="s">
        <v>8</v>
      </c>
      <c r="G311" s="90">
        <f>1278+2075+828</f>
        <v>4181</v>
      </c>
      <c r="H311" s="91"/>
    </row>
    <row r="312" spans="1:11" ht="15.75" thickBot="1" x14ac:dyDescent="0.3">
      <c r="A312" s="2" t="s">
        <v>13</v>
      </c>
      <c r="B312" s="6">
        <f>G312*56%</f>
        <v>8611.1200000000008</v>
      </c>
      <c r="C312" s="6"/>
      <c r="D312" s="26">
        <f>G312-B312</f>
        <v>6765.8799999999992</v>
      </c>
      <c r="E312" s="8" t="s">
        <v>8</v>
      </c>
      <c r="F312" s="8" t="s">
        <v>8</v>
      </c>
      <c r="G312" s="90">
        <v>15377</v>
      </c>
      <c r="H312" s="91"/>
    </row>
    <row r="313" spans="1:11" ht="30.75" thickBot="1" x14ac:dyDescent="0.3">
      <c r="A313" s="2" t="s">
        <v>14</v>
      </c>
      <c r="B313" s="6">
        <f>G313*56%</f>
        <v>4506.88</v>
      </c>
      <c r="C313" s="6"/>
      <c r="D313" s="26">
        <f>G313-B313</f>
        <v>3541.12</v>
      </c>
      <c r="E313" s="8" t="s">
        <v>8</v>
      </c>
      <c r="F313" s="8" t="s">
        <v>8</v>
      </c>
      <c r="G313" s="90">
        <f>4824+3224</f>
        <v>8048</v>
      </c>
      <c r="H313" s="91"/>
    </row>
    <row r="314" spans="1:11" ht="45.75" thickBot="1" x14ac:dyDescent="0.3">
      <c r="A314" s="2" t="s">
        <v>15</v>
      </c>
      <c r="B314" s="8" t="s">
        <v>8</v>
      </c>
      <c r="C314" s="8" t="s">
        <v>8</v>
      </c>
      <c r="D314" s="6"/>
      <c r="E314" s="8" t="s">
        <v>8</v>
      </c>
      <c r="F314" s="8" t="s">
        <v>8</v>
      </c>
      <c r="G314" s="90"/>
      <c r="H314" s="91"/>
    </row>
    <row r="315" spans="1:11" ht="15.75" thickBot="1" x14ac:dyDescent="0.3">
      <c r="A315" s="2" t="s">
        <v>16</v>
      </c>
      <c r="B315" s="8" t="s">
        <v>8</v>
      </c>
      <c r="C315" s="8" t="s">
        <v>8</v>
      </c>
      <c r="D315" s="12"/>
      <c r="E315" s="6">
        <v>0</v>
      </c>
      <c r="F315" s="6"/>
      <c r="G315" s="90">
        <v>0</v>
      </c>
      <c r="H315" s="91"/>
    </row>
    <row r="316" spans="1:11" ht="15.75" thickBot="1" x14ac:dyDescent="0.3">
      <c r="A316" s="3" t="s">
        <v>17</v>
      </c>
      <c r="B316" s="6">
        <f>G316*56%</f>
        <v>0</v>
      </c>
      <c r="C316" s="8"/>
      <c r="D316" s="6"/>
      <c r="E316" s="6">
        <f>G316-B316</f>
        <v>0</v>
      </c>
      <c r="F316" s="6"/>
      <c r="G316" s="90">
        <v>0</v>
      </c>
      <c r="H316" s="91"/>
      <c r="K316" s="10">
        <f>G420+G423+G424</f>
        <v>251785</v>
      </c>
    </row>
    <row r="317" spans="1:11" ht="15.75" thickBot="1" x14ac:dyDescent="0.3">
      <c r="A317" s="3" t="s">
        <v>18</v>
      </c>
      <c r="B317" s="6"/>
      <c r="C317" s="8"/>
      <c r="D317" s="8"/>
      <c r="E317" s="6"/>
      <c r="F317" s="6"/>
      <c r="G317" s="90"/>
      <c r="H317" s="91"/>
      <c r="K317" s="10">
        <f>251786-K316</f>
        <v>1</v>
      </c>
    </row>
    <row r="318" spans="1:11" ht="45.75" thickBot="1" x14ac:dyDescent="0.3">
      <c r="A318" s="2" t="s">
        <v>19</v>
      </c>
      <c r="B318" s="6"/>
      <c r="C318" s="8"/>
      <c r="D318" s="6"/>
      <c r="E318" s="6"/>
      <c r="F318" s="6"/>
      <c r="G318" s="94"/>
      <c r="H318" s="95"/>
    </row>
    <row r="319" spans="1:11" ht="30.75" thickBot="1" x14ac:dyDescent="0.3">
      <c r="A319" s="2" t="s">
        <v>20</v>
      </c>
      <c r="B319" s="6">
        <f>G319*56%</f>
        <v>15947.680000000002</v>
      </c>
      <c r="C319" s="8"/>
      <c r="D319" s="6"/>
      <c r="E319" s="6">
        <f>G319-B319</f>
        <v>12530.319999999998</v>
      </c>
      <c r="F319" s="6"/>
      <c r="G319" s="90">
        <v>28478</v>
      </c>
      <c r="H319" s="91"/>
    </row>
    <row r="320" spans="1:11" ht="30.75" thickBot="1" x14ac:dyDescent="0.3">
      <c r="A320" s="2" t="s">
        <v>21</v>
      </c>
      <c r="B320" s="6">
        <f>G320*56%</f>
        <v>14820.400000000001</v>
      </c>
      <c r="C320" s="6"/>
      <c r="D320" s="26">
        <f>G320-B320</f>
        <v>11644.599999999999</v>
      </c>
      <c r="E320" s="8" t="s">
        <v>8</v>
      </c>
      <c r="F320" s="8" t="s">
        <v>8</v>
      </c>
      <c r="G320" s="90">
        <f>25189+241+1035</f>
        <v>26465</v>
      </c>
      <c r="H320" s="91"/>
    </row>
    <row r="321" spans="1:10" ht="15.75" thickBot="1" x14ac:dyDescent="0.3">
      <c r="A321" s="3" t="s">
        <v>22</v>
      </c>
      <c r="B321" s="6">
        <f>G321*56%</f>
        <v>18046.560000000001</v>
      </c>
      <c r="C321" s="6"/>
      <c r="D321" s="31">
        <f>G321-B321</f>
        <v>14179.439999999999</v>
      </c>
      <c r="E321" s="8" t="s">
        <v>8</v>
      </c>
      <c r="F321" s="8" t="s">
        <v>8</v>
      </c>
      <c r="G321" s="90">
        <f>128+13098+10+3670+15320</f>
        <v>32226</v>
      </c>
      <c r="H321" s="91"/>
    </row>
    <row r="322" spans="1:10" ht="15.75" thickBot="1" x14ac:dyDescent="0.3">
      <c r="A322" s="3" t="s">
        <v>23</v>
      </c>
      <c r="B322" s="8" t="s">
        <v>8</v>
      </c>
      <c r="C322" s="12"/>
      <c r="D322" s="8" t="s">
        <v>8</v>
      </c>
      <c r="E322" s="8" t="s">
        <v>8</v>
      </c>
      <c r="F322" s="8" t="s">
        <v>8</v>
      </c>
      <c r="G322" s="94"/>
      <c r="H322" s="95"/>
    </row>
    <row r="323" spans="1:10" ht="15.75" thickBot="1" x14ac:dyDescent="0.3">
      <c r="A323" s="3" t="s">
        <v>24</v>
      </c>
      <c r="B323" s="6">
        <f>G323*56%</f>
        <v>0</v>
      </c>
      <c r="C323" s="6"/>
      <c r="D323" s="6"/>
      <c r="E323" s="8" t="s">
        <v>8</v>
      </c>
      <c r="F323" s="8" t="s">
        <v>8</v>
      </c>
      <c r="G323" s="90"/>
      <c r="H323" s="91"/>
    </row>
    <row r="324" spans="1:10" ht="15.75" thickBot="1" x14ac:dyDescent="0.3">
      <c r="A324" s="4" t="s">
        <v>25</v>
      </c>
      <c r="B324" s="6">
        <f>SUM(B308:B323)</f>
        <v>199529.11999999997</v>
      </c>
      <c r="C324" s="6"/>
      <c r="D324" s="6">
        <f>SUM(D308:D323)</f>
        <v>79582.559999999998</v>
      </c>
      <c r="E324" s="6">
        <f>SUM(E308:E323)</f>
        <v>12530.319999999998</v>
      </c>
      <c r="F324" s="6"/>
      <c r="G324" s="90">
        <f>SUM(G308:H323)</f>
        <v>291642</v>
      </c>
      <c r="H324" s="91"/>
      <c r="J324" s="10">
        <f>291642-G324</f>
        <v>0</v>
      </c>
    </row>
    <row r="325" spans="1:10" x14ac:dyDescent="0.25">
      <c r="A325" s="92" t="s">
        <v>26</v>
      </c>
      <c r="B325" s="92"/>
      <c r="C325" s="92"/>
      <c r="D325" s="92"/>
      <c r="E325" s="92"/>
      <c r="F325" s="92"/>
      <c r="G325" s="92"/>
      <c r="H325" s="92"/>
    </row>
    <row r="326" spans="1:10" x14ac:dyDescent="0.25">
      <c r="A326" s="93" t="s">
        <v>27</v>
      </c>
      <c r="B326" s="93"/>
      <c r="C326" s="93"/>
      <c r="D326" s="93"/>
      <c r="E326" s="93"/>
      <c r="F326" s="93"/>
      <c r="G326" s="93"/>
      <c r="H326" s="93"/>
    </row>
    <row r="327" spans="1:10" ht="17.25" customHeight="1" x14ac:dyDescent="0.25">
      <c r="A327" s="93" t="s">
        <v>28</v>
      </c>
      <c r="B327" s="93"/>
      <c r="C327" s="93"/>
      <c r="D327" s="93"/>
      <c r="E327" s="93"/>
      <c r="F327" s="93"/>
      <c r="G327" s="93"/>
      <c r="H327" s="93"/>
    </row>
    <row r="328" spans="1:10" ht="12.75" customHeight="1" x14ac:dyDescent="0.25">
      <c r="A328" s="1"/>
      <c r="B328" s="9"/>
      <c r="C328" s="9"/>
      <c r="D328" s="9"/>
      <c r="E328" s="9"/>
      <c r="F328" s="9"/>
      <c r="G328" s="9"/>
      <c r="H328" s="9"/>
    </row>
    <row r="329" spans="1:10" ht="27.75" customHeight="1" x14ac:dyDescent="0.25">
      <c r="A329" s="5"/>
      <c r="B329" s="13" t="s">
        <v>109</v>
      </c>
      <c r="C329" s="13">
        <v>173415</v>
      </c>
    </row>
    <row r="330" spans="1:10" x14ac:dyDescent="0.25">
      <c r="C330" s="10">
        <f>C329-B324</f>
        <v>-26114.119999999966</v>
      </c>
    </row>
    <row r="331" spans="1:10" x14ac:dyDescent="0.25">
      <c r="C331"/>
      <c r="D331"/>
      <c r="E331"/>
      <c r="F331"/>
      <c r="G331"/>
      <c r="H331"/>
    </row>
    <row r="332" spans="1:10" x14ac:dyDescent="0.25">
      <c r="C332"/>
      <c r="D332"/>
      <c r="E332"/>
      <c r="F332"/>
      <c r="G332"/>
      <c r="H332"/>
    </row>
    <row r="333" spans="1:10" x14ac:dyDescent="0.25">
      <c r="C333"/>
      <c r="D333"/>
      <c r="E333"/>
      <c r="F333"/>
      <c r="G333"/>
      <c r="H333"/>
    </row>
    <row r="334" spans="1:10" x14ac:dyDescent="0.25">
      <c r="A334" s="22"/>
      <c r="B334" s="23"/>
      <c r="C334" s="23"/>
      <c r="D334" s="23"/>
      <c r="E334" s="112" t="s">
        <v>29</v>
      </c>
      <c r="F334" s="112"/>
      <c r="G334" s="112"/>
      <c r="H334" s="112"/>
    </row>
    <row r="335" spans="1:10" x14ac:dyDescent="0.25">
      <c r="A335" s="113"/>
      <c r="B335" s="114"/>
      <c r="C335" s="114"/>
      <c r="D335" s="115"/>
      <c r="E335" s="115" t="s">
        <v>0</v>
      </c>
      <c r="F335" s="115"/>
      <c r="G335" s="115"/>
      <c r="H335" s="115"/>
    </row>
    <row r="336" spans="1:10" x14ac:dyDescent="0.25">
      <c r="A336" s="113"/>
      <c r="B336" s="114"/>
      <c r="C336" s="114"/>
      <c r="D336" s="115"/>
      <c r="E336" s="126" t="s">
        <v>31</v>
      </c>
      <c r="F336" s="115"/>
      <c r="G336" s="115"/>
      <c r="H336" s="115"/>
    </row>
    <row r="337" spans="1:11" ht="15.75" thickBot="1" x14ac:dyDescent="0.3">
      <c r="A337" s="98" t="s">
        <v>79</v>
      </c>
      <c r="B337" s="98"/>
      <c r="C337" s="98"/>
      <c r="D337" s="98"/>
      <c r="E337" s="98"/>
      <c r="F337" s="98"/>
      <c r="G337" s="99"/>
      <c r="H337" s="99"/>
    </row>
    <row r="338" spans="1:11" x14ac:dyDescent="0.25">
      <c r="A338" s="100" t="s">
        <v>2</v>
      </c>
      <c r="B338" s="103" t="s">
        <v>30</v>
      </c>
      <c r="C338" s="104"/>
      <c r="D338" s="104"/>
      <c r="E338" s="104"/>
      <c r="F338" s="104"/>
      <c r="G338" s="105" t="s">
        <v>3</v>
      </c>
      <c r="H338" s="106"/>
    </row>
    <row r="339" spans="1:11" ht="180.75" thickBot="1" x14ac:dyDescent="0.3">
      <c r="A339" s="124"/>
      <c r="B339" s="105" t="s">
        <v>30</v>
      </c>
      <c r="C339" s="105"/>
      <c r="D339" s="15" t="s">
        <v>32</v>
      </c>
      <c r="E339" s="105" t="s">
        <v>4</v>
      </c>
      <c r="F339" s="105"/>
      <c r="G339" s="125"/>
      <c r="H339" s="109"/>
    </row>
    <row r="340" spans="1:11" ht="165.75" thickBot="1" x14ac:dyDescent="0.3">
      <c r="A340" s="102"/>
      <c r="B340" s="14" t="s">
        <v>36</v>
      </c>
      <c r="C340" s="25" t="s">
        <v>5</v>
      </c>
      <c r="D340" s="15" t="s">
        <v>33</v>
      </c>
      <c r="E340" s="25" t="s">
        <v>34</v>
      </c>
      <c r="F340" s="7" t="s">
        <v>35</v>
      </c>
      <c r="G340" s="110"/>
      <c r="H340" s="111"/>
    </row>
    <row r="341" spans="1:11" ht="15.75" thickBot="1" x14ac:dyDescent="0.3">
      <c r="A341" s="24">
        <v>1</v>
      </c>
      <c r="B341" s="7">
        <v>2</v>
      </c>
      <c r="C341" s="16">
        <v>3</v>
      </c>
      <c r="D341" s="25">
        <v>4</v>
      </c>
      <c r="E341" s="11">
        <v>5</v>
      </c>
      <c r="F341" s="7">
        <v>6</v>
      </c>
      <c r="G341" s="96" t="s">
        <v>37</v>
      </c>
      <c r="H341" s="97"/>
    </row>
    <row r="342" spans="1:11" ht="60.75" thickBot="1" x14ac:dyDescent="0.3">
      <c r="A342" s="2" t="s">
        <v>7</v>
      </c>
      <c r="B342" s="6">
        <f>B343</f>
        <v>101551.2</v>
      </c>
      <c r="C342" s="12"/>
      <c r="D342" s="6">
        <f>D343</f>
        <v>32068.800000000003</v>
      </c>
      <c r="E342" s="8" t="s">
        <v>8</v>
      </c>
      <c r="F342" s="8" t="s">
        <v>8</v>
      </c>
      <c r="G342" s="90">
        <f>137021-1392-2075+66</f>
        <v>133620</v>
      </c>
      <c r="H342" s="91"/>
    </row>
    <row r="343" spans="1:11" ht="15.75" thickBot="1" x14ac:dyDescent="0.3">
      <c r="A343" s="3" t="s">
        <v>9</v>
      </c>
      <c r="B343" s="6">
        <f>G343*76%</f>
        <v>101551.2</v>
      </c>
      <c r="C343" s="12"/>
      <c r="D343" s="26">
        <f>G343-B343</f>
        <v>32068.800000000003</v>
      </c>
      <c r="E343" s="8" t="s">
        <v>8</v>
      </c>
      <c r="F343" s="8" t="s">
        <v>8</v>
      </c>
      <c r="G343" s="90">
        <f>G342</f>
        <v>133620</v>
      </c>
      <c r="H343" s="91"/>
    </row>
    <row r="344" spans="1:11" ht="15.75" thickBot="1" x14ac:dyDescent="0.3">
      <c r="A344" s="2" t="s">
        <v>10</v>
      </c>
      <c r="B344" s="6">
        <v>0</v>
      </c>
      <c r="C344" s="12"/>
      <c r="D344" s="6">
        <v>0</v>
      </c>
      <c r="E344" s="8" t="s">
        <v>8</v>
      </c>
      <c r="F344" s="8" t="s">
        <v>8</v>
      </c>
      <c r="G344" s="90">
        <v>0</v>
      </c>
      <c r="H344" s="91"/>
    </row>
    <row r="345" spans="1:11" ht="60.75" thickBot="1" x14ac:dyDescent="0.3">
      <c r="A345" s="2" t="s">
        <v>11</v>
      </c>
      <c r="B345" s="6">
        <f>G345*76%</f>
        <v>50893.4</v>
      </c>
      <c r="C345" s="12"/>
      <c r="D345" s="26">
        <f>G345-B345</f>
        <v>16071.599999999999</v>
      </c>
      <c r="E345" s="8" t="s">
        <v>8</v>
      </c>
      <c r="F345" s="8" t="s">
        <v>8</v>
      </c>
      <c r="G345" s="90">
        <f>67848-883</f>
        <v>66965</v>
      </c>
      <c r="H345" s="91"/>
    </row>
    <row r="346" spans="1:11" ht="30.75" thickBot="1" x14ac:dyDescent="0.3">
      <c r="A346" s="2" t="s">
        <v>12</v>
      </c>
      <c r="B346" s="6">
        <f>G346*76%</f>
        <v>3306</v>
      </c>
      <c r="C346" s="12"/>
      <c r="D346" s="26">
        <f>G346-B346</f>
        <v>1044</v>
      </c>
      <c r="E346" s="8" t="s">
        <v>8</v>
      </c>
      <c r="F346" s="8" t="s">
        <v>8</v>
      </c>
      <c r="G346" s="90">
        <f>883+1392+2075</f>
        <v>4350</v>
      </c>
      <c r="H346" s="91"/>
    </row>
    <row r="347" spans="1:11" ht="15.75" thickBot="1" x14ac:dyDescent="0.3">
      <c r="A347" s="2" t="s">
        <v>13</v>
      </c>
      <c r="B347" s="6">
        <f>G347*56%</f>
        <v>9776.4800000000014</v>
      </c>
      <c r="C347" s="6"/>
      <c r="D347" s="26">
        <f>G347-B347</f>
        <v>7681.5199999999986</v>
      </c>
      <c r="E347" s="8" t="s">
        <v>8</v>
      </c>
      <c r="F347" s="8" t="s">
        <v>8</v>
      </c>
      <c r="G347" s="90">
        <v>17458</v>
      </c>
      <c r="H347" s="91"/>
    </row>
    <row r="348" spans="1:11" ht="30.75" thickBot="1" x14ac:dyDescent="0.3">
      <c r="A348" s="2" t="s">
        <v>14</v>
      </c>
      <c r="B348" s="6">
        <f>G348*56%</f>
        <v>4672.6400000000003</v>
      </c>
      <c r="C348" s="6"/>
      <c r="D348" s="26">
        <f>G348-B348</f>
        <v>3671.3599999999997</v>
      </c>
      <c r="E348" s="8" t="s">
        <v>8</v>
      </c>
      <c r="F348" s="8" t="s">
        <v>8</v>
      </c>
      <c r="G348" s="90">
        <f>5027+3317</f>
        <v>8344</v>
      </c>
      <c r="H348" s="91"/>
      <c r="I348" s="10">
        <f>G345+G346+G343</f>
        <v>204935</v>
      </c>
    </row>
    <row r="349" spans="1:11" ht="45.75" thickBot="1" x14ac:dyDescent="0.3">
      <c r="A349" s="2" t="s">
        <v>15</v>
      </c>
      <c r="B349" s="8" t="s">
        <v>8</v>
      </c>
      <c r="C349" s="8" t="s">
        <v>8</v>
      </c>
      <c r="D349" s="6"/>
      <c r="E349" s="8" t="s">
        <v>8</v>
      </c>
      <c r="F349" s="8" t="s">
        <v>8</v>
      </c>
      <c r="G349" s="90"/>
      <c r="H349" s="91"/>
    </row>
    <row r="350" spans="1:11" ht="15.75" thickBot="1" x14ac:dyDescent="0.3">
      <c r="A350" s="2" t="s">
        <v>16</v>
      </c>
      <c r="B350" s="8" t="s">
        <v>8</v>
      </c>
      <c r="C350" s="8" t="s">
        <v>8</v>
      </c>
      <c r="D350" s="12"/>
      <c r="E350" s="6">
        <v>0</v>
      </c>
      <c r="F350" s="6"/>
      <c r="G350" s="90">
        <v>0</v>
      </c>
      <c r="H350" s="91"/>
    </row>
    <row r="351" spans="1:11" ht="15.75" thickBot="1" x14ac:dyDescent="0.3">
      <c r="A351" s="3" t="s">
        <v>17</v>
      </c>
      <c r="B351" s="6">
        <f>G351*56%</f>
        <v>0</v>
      </c>
      <c r="C351" s="8"/>
      <c r="D351" s="6"/>
      <c r="E351" s="6">
        <f>G351-B351</f>
        <v>0</v>
      </c>
      <c r="F351" s="6"/>
      <c r="G351" s="90">
        <v>0</v>
      </c>
      <c r="H351" s="91"/>
      <c r="K351" s="10" t="e">
        <f>G455+G458+#REF!</f>
        <v>#REF!</v>
      </c>
    </row>
    <row r="352" spans="1:11" ht="15.75" thickBot="1" x14ac:dyDescent="0.3">
      <c r="A352" s="3" t="s">
        <v>18</v>
      </c>
      <c r="B352" s="6"/>
      <c r="C352" s="8"/>
      <c r="D352" s="8"/>
      <c r="E352" s="6"/>
      <c r="F352" s="6"/>
      <c r="G352" s="90"/>
      <c r="H352" s="91"/>
      <c r="K352" s="10" t="e">
        <f>251786-K351</f>
        <v>#REF!</v>
      </c>
    </row>
    <row r="353" spans="1:10" ht="45.75" thickBot="1" x14ac:dyDescent="0.3">
      <c r="A353" s="2" t="s">
        <v>19</v>
      </c>
      <c r="B353" s="6"/>
      <c r="C353" s="8"/>
      <c r="D353" s="6"/>
      <c r="E353" s="6"/>
      <c r="F353" s="6"/>
      <c r="G353" s="94"/>
      <c r="H353" s="95"/>
    </row>
    <row r="354" spans="1:10" ht="30.75" thickBot="1" x14ac:dyDescent="0.3">
      <c r="A354" s="2" t="s">
        <v>20</v>
      </c>
      <c r="B354" s="6">
        <f>G354*56%</f>
        <v>17736.88</v>
      </c>
      <c r="C354" s="8"/>
      <c r="D354" s="6"/>
      <c r="E354" s="6">
        <f>G354-B354</f>
        <v>13936.119999999999</v>
      </c>
      <c r="F354" s="6"/>
      <c r="G354" s="90">
        <v>31673</v>
      </c>
      <c r="H354" s="91"/>
    </row>
    <row r="355" spans="1:10" ht="30.75" thickBot="1" x14ac:dyDescent="0.3">
      <c r="A355" s="2" t="s">
        <v>21</v>
      </c>
      <c r="B355" s="6">
        <f>G355*56%</f>
        <v>16354.800000000001</v>
      </c>
      <c r="C355" s="6"/>
      <c r="D355" s="26">
        <f>G355-B355</f>
        <v>12850.199999999999</v>
      </c>
      <c r="E355" s="8" t="s">
        <v>8</v>
      </c>
      <c r="F355" s="8" t="s">
        <v>8</v>
      </c>
      <c r="G355" s="90">
        <f>27713+241+1251</f>
        <v>29205</v>
      </c>
      <c r="H355" s="91"/>
    </row>
    <row r="356" spans="1:10" ht="15.75" thickBot="1" x14ac:dyDescent="0.3">
      <c r="A356" s="3" t="s">
        <v>22</v>
      </c>
      <c r="B356" s="6">
        <f>G356*56%</f>
        <v>18949.280000000002</v>
      </c>
      <c r="C356" s="6"/>
      <c r="D356" s="31">
        <f>G356-B356</f>
        <v>14888.719999999998</v>
      </c>
      <c r="E356" s="8" t="s">
        <v>8</v>
      </c>
      <c r="F356" s="8" t="s">
        <v>8</v>
      </c>
      <c r="G356" s="90">
        <f>128+14704+10+3676+15320</f>
        <v>33838</v>
      </c>
      <c r="H356" s="91"/>
    </row>
    <row r="357" spans="1:10" ht="15.75" thickBot="1" x14ac:dyDescent="0.3">
      <c r="A357" s="3" t="s">
        <v>23</v>
      </c>
      <c r="B357" s="8" t="s">
        <v>8</v>
      </c>
      <c r="C357" s="12"/>
      <c r="D357" s="8" t="s">
        <v>8</v>
      </c>
      <c r="E357" s="8" t="s">
        <v>8</v>
      </c>
      <c r="F357" s="8" t="s">
        <v>8</v>
      </c>
      <c r="G357" s="94"/>
      <c r="H357" s="95"/>
    </row>
    <row r="358" spans="1:10" ht="15.75" thickBot="1" x14ac:dyDescent="0.3">
      <c r="A358" s="3" t="s">
        <v>24</v>
      </c>
      <c r="B358" s="6">
        <f>G358*56%</f>
        <v>0</v>
      </c>
      <c r="C358" s="6"/>
      <c r="D358" s="6"/>
      <c r="E358" s="8" t="s">
        <v>8</v>
      </c>
      <c r="F358" s="8" t="s">
        <v>8</v>
      </c>
      <c r="G358" s="90"/>
      <c r="H358" s="91"/>
    </row>
    <row r="359" spans="1:10" ht="15.75" thickBot="1" x14ac:dyDescent="0.3">
      <c r="A359" s="4" t="s">
        <v>25</v>
      </c>
      <c r="B359" s="6">
        <f>SUM(B343:B358)</f>
        <v>223240.68000000002</v>
      </c>
      <c r="C359" s="6"/>
      <c r="D359" s="6">
        <f>SUM(D343:D358)</f>
        <v>88276.2</v>
      </c>
      <c r="E359" s="6">
        <f>SUM(E343:E358)</f>
        <v>13936.119999999999</v>
      </c>
      <c r="F359" s="6"/>
      <c r="G359" s="90">
        <f>SUM(G343:H358)</f>
        <v>325453</v>
      </c>
      <c r="H359" s="91"/>
      <c r="J359" s="10">
        <f>325453-G359</f>
        <v>0</v>
      </c>
    </row>
    <row r="360" spans="1:10" x14ac:dyDescent="0.25">
      <c r="A360" s="92" t="s">
        <v>26</v>
      </c>
      <c r="B360" s="92"/>
      <c r="C360" s="92"/>
      <c r="D360" s="92"/>
      <c r="E360" s="92"/>
      <c r="F360" s="92"/>
      <c r="G360" s="92"/>
      <c r="H360" s="92"/>
    </row>
    <row r="361" spans="1:10" x14ac:dyDescent="0.25">
      <c r="A361" s="93" t="s">
        <v>27</v>
      </c>
      <c r="B361" s="93"/>
      <c r="C361" s="93"/>
      <c r="D361" s="93"/>
      <c r="E361" s="93"/>
      <c r="F361" s="93"/>
      <c r="G361" s="93"/>
      <c r="H361" s="93"/>
    </row>
    <row r="362" spans="1:10" ht="17.25" customHeight="1" x14ac:dyDescent="0.25">
      <c r="A362" s="93" t="s">
        <v>28</v>
      </c>
      <c r="B362" s="93"/>
      <c r="C362" s="93"/>
      <c r="D362" s="93"/>
      <c r="E362" s="93"/>
      <c r="F362" s="93"/>
      <c r="G362" s="93"/>
      <c r="H362" s="93"/>
    </row>
    <row r="363" spans="1:10" ht="12.75" customHeight="1" x14ac:dyDescent="0.25">
      <c r="A363" s="1"/>
      <c r="B363" s="9"/>
      <c r="C363" s="9"/>
      <c r="D363" s="9"/>
      <c r="E363" s="9"/>
      <c r="F363" s="9"/>
      <c r="G363" s="9"/>
      <c r="H363" s="9"/>
    </row>
    <row r="364" spans="1:10" ht="27.75" customHeight="1" x14ac:dyDescent="0.25">
      <c r="A364" s="5"/>
      <c r="B364" s="13" t="s">
        <v>110</v>
      </c>
      <c r="C364" s="13">
        <v>193708</v>
      </c>
    </row>
    <row r="365" spans="1:10" x14ac:dyDescent="0.25">
      <c r="C365" s="10">
        <f>C364-B359</f>
        <v>-29532.680000000022</v>
      </c>
    </row>
    <row r="366" spans="1:10" x14ac:dyDescent="0.25">
      <c r="C366"/>
      <c r="D366"/>
      <c r="E366"/>
      <c r="F366"/>
      <c r="G366"/>
      <c r="H366"/>
    </row>
    <row r="367" spans="1:10" x14ac:dyDescent="0.25">
      <c r="C367"/>
      <c r="D367"/>
      <c r="E367"/>
      <c r="F367"/>
      <c r="G367"/>
      <c r="H367"/>
    </row>
    <row r="368" spans="1:10" x14ac:dyDescent="0.25">
      <c r="C368"/>
      <c r="D368"/>
      <c r="E368"/>
      <c r="F368"/>
      <c r="G368"/>
      <c r="H368"/>
    </row>
    <row r="369" spans="1:9" x14ac:dyDescent="0.25">
      <c r="C369"/>
      <c r="D369"/>
      <c r="E369"/>
      <c r="F369"/>
      <c r="G369"/>
      <c r="H369"/>
    </row>
    <row r="370" spans="1:9" x14ac:dyDescent="0.25">
      <c r="A370" s="22"/>
      <c r="B370" s="23"/>
      <c r="C370" s="23"/>
      <c r="D370" s="23"/>
      <c r="E370" s="112" t="s">
        <v>29</v>
      </c>
      <c r="F370" s="112"/>
      <c r="G370" s="112"/>
      <c r="H370" s="112"/>
    </row>
    <row r="371" spans="1:9" x14ac:dyDescent="0.25">
      <c r="A371" s="113"/>
      <c r="B371" s="114"/>
      <c r="C371" s="114"/>
      <c r="D371" s="115"/>
      <c r="E371" s="115" t="s">
        <v>0</v>
      </c>
      <c r="F371" s="115"/>
      <c r="G371" s="115"/>
      <c r="H371" s="115"/>
    </row>
    <row r="372" spans="1:9" x14ac:dyDescent="0.25">
      <c r="A372" s="113"/>
      <c r="B372" s="114"/>
      <c r="C372" s="114"/>
      <c r="D372" s="115"/>
      <c r="E372" s="126" t="s">
        <v>31</v>
      </c>
      <c r="F372" s="115"/>
      <c r="G372" s="115"/>
      <c r="H372" s="115"/>
    </row>
    <row r="373" spans="1:9" ht="15.75" thickBot="1" x14ac:dyDescent="0.3">
      <c r="A373" s="98" t="s">
        <v>81</v>
      </c>
      <c r="B373" s="98"/>
      <c r="C373" s="98"/>
      <c r="D373" s="98"/>
      <c r="E373" s="98"/>
      <c r="F373" s="98"/>
      <c r="G373" s="99"/>
      <c r="H373" s="99"/>
    </row>
    <row r="374" spans="1:9" x14ac:dyDescent="0.25">
      <c r="A374" s="100" t="s">
        <v>2</v>
      </c>
      <c r="B374" s="103" t="s">
        <v>30</v>
      </c>
      <c r="C374" s="104"/>
      <c r="D374" s="104"/>
      <c r="E374" s="104"/>
      <c r="F374" s="104"/>
      <c r="G374" s="105" t="s">
        <v>3</v>
      </c>
      <c r="H374" s="106"/>
    </row>
    <row r="375" spans="1:9" ht="180.75" thickBot="1" x14ac:dyDescent="0.3">
      <c r="A375" s="124"/>
      <c r="B375" s="105" t="s">
        <v>30</v>
      </c>
      <c r="C375" s="105"/>
      <c r="D375" s="15" t="s">
        <v>32</v>
      </c>
      <c r="E375" s="105" t="s">
        <v>4</v>
      </c>
      <c r="F375" s="105"/>
      <c r="G375" s="125"/>
      <c r="H375" s="109"/>
    </row>
    <row r="376" spans="1:9" ht="165.75" thickBot="1" x14ac:dyDescent="0.3">
      <c r="A376" s="102"/>
      <c r="B376" s="14" t="s">
        <v>36</v>
      </c>
      <c r="C376" s="25" t="s">
        <v>5</v>
      </c>
      <c r="D376" s="15" t="s">
        <v>33</v>
      </c>
      <c r="E376" s="25" t="s">
        <v>34</v>
      </c>
      <c r="F376" s="7" t="s">
        <v>35</v>
      </c>
      <c r="G376" s="110"/>
      <c r="H376" s="111"/>
    </row>
    <row r="377" spans="1:9" ht="15.75" thickBot="1" x14ac:dyDescent="0.3">
      <c r="A377" s="24">
        <v>1</v>
      </c>
      <c r="B377" s="7">
        <v>2</v>
      </c>
      <c r="C377" s="16">
        <v>3</v>
      </c>
      <c r="D377" s="25">
        <v>4</v>
      </c>
      <c r="E377" s="11">
        <v>5</v>
      </c>
      <c r="F377" s="7">
        <v>6</v>
      </c>
      <c r="G377" s="96" t="s">
        <v>37</v>
      </c>
      <c r="H377" s="97"/>
    </row>
    <row r="378" spans="1:9" ht="60.75" thickBot="1" x14ac:dyDescent="0.3">
      <c r="A378" s="2" t="s">
        <v>7</v>
      </c>
      <c r="B378" s="6">
        <f>B379</f>
        <v>114041.8</v>
      </c>
      <c r="C378" s="12"/>
      <c r="D378" s="6">
        <f>D379</f>
        <v>36013.199999999997</v>
      </c>
      <c r="E378" s="8" t="s">
        <v>8</v>
      </c>
      <c r="F378" s="8" t="s">
        <v>8</v>
      </c>
      <c r="G378" s="90">
        <f>153571-1508-2075+67</f>
        <v>150055</v>
      </c>
      <c r="H378" s="91"/>
    </row>
    <row r="379" spans="1:9" ht="15.75" thickBot="1" x14ac:dyDescent="0.3">
      <c r="A379" s="3" t="s">
        <v>9</v>
      </c>
      <c r="B379" s="6">
        <f>G379*76%</f>
        <v>114041.8</v>
      </c>
      <c r="C379" s="12"/>
      <c r="D379" s="26">
        <f>G379-B379</f>
        <v>36013.199999999997</v>
      </c>
      <c r="E379" s="8" t="s">
        <v>8</v>
      </c>
      <c r="F379" s="8" t="s">
        <v>8</v>
      </c>
      <c r="G379" s="90">
        <f>G378</f>
        <v>150055</v>
      </c>
      <c r="H379" s="91"/>
    </row>
    <row r="380" spans="1:9" ht="15.75" thickBot="1" x14ac:dyDescent="0.3">
      <c r="A380" s="2" t="s">
        <v>10</v>
      </c>
      <c r="B380" s="6">
        <v>0</v>
      </c>
      <c r="C380" s="12"/>
      <c r="D380" s="6">
        <v>0</v>
      </c>
      <c r="E380" s="8" t="s">
        <v>8</v>
      </c>
      <c r="F380" s="8" t="s">
        <v>8</v>
      </c>
      <c r="G380" s="90">
        <v>0</v>
      </c>
      <c r="H380" s="91"/>
    </row>
    <row r="381" spans="1:9" ht="60.75" thickBot="1" x14ac:dyDescent="0.3">
      <c r="A381" s="2" t="s">
        <v>11</v>
      </c>
      <c r="B381" s="6">
        <f>G381*76%</f>
        <v>56205.04</v>
      </c>
      <c r="C381" s="12"/>
      <c r="D381" s="26">
        <f>G381-B381</f>
        <v>17748.96</v>
      </c>
      <c r="E381" s="8" t="s">
        <v>8</v>
      </c>
      <c r="F381" s="8" t="s">
        <v>8</v>
      </c>
      <c r="G381" s="90">
        <f>74894-940</f>
        <v>73954</v>
      </c>
      <c r="H381" s="91"/>
    </row>
    <row r="382" spans="1:9" ht="30.75" thickBot="1" x14ac:dyDescent="0.3">
      <c r="A382" s="2" t="s">
        <v>12</v>
      </c>
      <c r="B382" s="6">
        <f>G382*76%</f>
        <v>3437.48</v>
      </c>
      <c r="C382" s="12"/>
      <c r="D382" s="26">
        <f>G382-B382</f>
        <v>1085.52</v>
      </c>
      <c r="E382" s="8" t="s">
        <v>8</v>
      </c>
      <c r="F382" s="8" t="s">
        <v>8</v>
      </c>
      <c r="G382" s="90">
        <f>940+1508+2075</f>
        <v>4523</v>
      </c>
      <c r="H382" s="91"/>
    </row>
    <row r="383" spans="1:9" ht="15.75" thickBot="1" x14ac:dyDescent="0.3">
      <c r="A383" s="2" t="s">
        <v>13</v>
      </c>
      <c r="B383" s="6">
        <f>G383*56%</f>
        <v>9776.4800000000014</v>
      </c>
      <c r="C383" s="6"/>
      <c r="D383" s="26">
        <f>G383-B383</f>
        <v>7681.5199999999986</v>
      </c>
      <c r="E383" s="8" t="s">
        <v>8</v>
      </c>
      <c r="F383" s="8" t="s">
        <v>8</v>
      </c>
      <c r="G383" s="90">
        <v>17458</v>
      </c>
      <c r="H383" s="91"/>
    </row>
    <row r="384" spans="1:9" ht="30.75" thickBot="1" x14ac:dyDescent="0.3">
      <c r="A384" s="2" t="s">
        <v>14</v>
      </c>
      <c r="B384" s="6">
        <f>G384*56%</f>
        <v>6305.6</v>
      </c>
      <c r="C384" s="6"/>
      <c r="D384" s="26">
        <f>G384-B384</f>
        <v>4954.3999999999996</v>
      </c>
      <c r="E384" s="8" t="s">
        <v>8</v>
      </c>
      <c r="F384" s="8" t="s">
        <v>8</v>
      </c>
      <c r="G384" s="90">
        <f>7793+3467</f>
        <v>11260</v>
      </c>
      <c r="H384" s="91"/>
      <c r="I384" s="10">
        <f>G381+G382+G379</f>
        <v>228532</v>
      </c>
    </row>
    <row r="385" spans="1:11" ht="45.75" thickBot="1" x14ac:dyDescent="0.3">
      <c r="A385" s="2" t="s">
        <v>15</v>
      </c>
      <c r="B385" s="8" t="s">
        <v>8</v>
      </c>
      <c r="C385" s="8" t="s">
        <v>8</v>
      </c>
      <c r="D385" s="6"/>
      <c r="E385" s="8" t="s">
        <v>8</v>
      </c>
      <c r="F385" s="8" t="s">
        <v>8</v>
      </c>
      <c r="G385" s="90"/>
      <c r="H385" s="91"/>
    </row>
    <row r="386" spans="1:11" ht="15.75" thickBot="1" x14ac:dyDescent="0.3">
      <c r="A386" s="2" t="s">
        <v>16</v>
      </c>
      <c r="B386" s="8" t="s">
        <v>8</v>
      </c>
      <c r="C386" s="8" t="s">
        <v>8</v>
      </c>
      <c r="D386" s="12"/>
      <c r="E386" s="6">
        <v>0</v>
      </c>
      <c r="F386" s="6"/>
      <c r="G386" s="90">
        <v>0</v>
      </c>
      <c r="H386" s="91"/>
    </row>
    <row r="387" spans="1:11" ht="15.75" thickBot="1" x14ac:dyDescent="0.3">
      <c r="A387" s="3" t="s">
        <v>17</v>
      </c>
      <c r="B387" s="6">
        <f>G387*56%</f>
        <v>0</v>
      </c>
      <c r="C387" s="8"/>
      <c r="D387" s="6"/>
      <c r="E387" s="6">
        <f>G387-B387</f>
        <v>0</v>
      </c>
      <c r="F387" s="6"/>
      <c r="G387" s="90">
        <v>0</v>
      </c>
      <c r="H387" s="91"/>
      <c r="K387" s="10" t="e">
        <f>#REF!+#REF!+#REF!</f>
        <v>#REF!</v>
      </c>
    </row>
    <row r="388" spans="1:11" ht="15.75" thickBot="1" x14ac:dyDescent="0.3">
      <c r="A388" s="3" t="s">
        <v>18</v>
      </c>
      <c r="B388" s="6"/>
      <c r="C388" s="8"/>
      <c r="D388" s="8"/>
      <c r="E388" s="6"/>
      <c r="F388" s="6"/>
      <c r="G388" s="90"/>
      <c r="H388" s="91"/>
      <c r="K388" s="10" t="e">
        <f>251786-K387</f>
        <v>#REF!</v>
      </c>
    </row>
    <row r="389" spans="1:11" ht="45.75" thickBot="1" x14ac:dyDescent="0.3">
      <c r="A389" s="2" t="s">
        <v>19</v>
      </c>
      <c r="B389" s="6"/>
      <c r="C389" s="8"/>
      <c r="D389" s="6"/>
      <c r="E389" s="6"/>
      <c r="F389" s="6"/>
      <c r="G389" s="94"/>
      <c r="H389" s="95"/>
    </row>
    <row r="390" spans="1:11" ht="30.75" thickBot="1" x14ac:dyDescent="0.3">
      <c r="A390" s="2" t="s">
        <v>20</v>
      </c>
      <c r="B390" s="6">
        <f>G390*56%</f>
        <v>19547.920000000002</v>
      </c>
      <c r="C390" s="8"/>
      <c r="D390" s="6"/>
      <c r="E390" s="6">
        <f>G390-B390</f>
        <v>15359.079999999998</v>
      </c>
      <c r="F390" s="6"/>
      <c r="G390" s="90">
        <v>34907</v>
      </c>
      <c r="H390" s="91"/>
    </row>
    <row r="391" spans="1:11" ht="30.75" thickBot="1" x14ac:dyDescent="0.3">
      <c r="A391" s="2" t="s">
        <v>21</v>
      </c>
      <c r="B391" s="6">
        <f>G391*56%</f>
        <v>19666.080000000002</v>
      </c>
      <c r="C391" s="6"/>
      <c r="D391" s="26">
        <f>G391-B391</f>
        <v>15451.919999999998</v>
      </c>
      <c r="E391" s="8" t="s">
        <v>8</v>
      </c>
      <c r="F391" s="8" t="s">
        <v>8</v>
      </c>
      <c r="G391" s="90">
        <f>33303+1574+241</f>
        <v>35118</v>
      </c>
      <c r="H391" s="91"/>
    </row>
    <row r="392" spans="1:11" ht="15.75" thickBot="1" x14ac:dyDescent="0.3">
      <c r="A392" s="3" t="s">
        <v>22</v>
      </c>
      <c r="B392" s="6">
        <f>G392*56%</f>
        <v>19881.68</v>
      </c>
      <c r="C392" s="6"/>
      <c r="D392" s="31">
        <f>G392-B392</f>
        <v>15621.32</v>
      </c>
      <c r="E392" s="8" t="s">
        <v>8</v>
      </c>
      <c r="F392" s="8" t="s">
        <v>8</v>
      </c>
      <c r="G392" s="90">
        <f>128+16349+10+3696+15320</f>
        <v>35503</v>
      </c>
      <c r="H392" s="91"/>
    </row>
    <row r="393" spans="1:11" ht="15.75" thickBot="1" x14ac:dyDescent="0.3">
      <c r="A393" s="3" t="s">
        <v>23</v>
      </c>
      <c r="B393" s="8" t="s">
        <v>8</v>
      </c>
      <c r="C393" s="12"/>
      <c r="D393" s="8" t="s">
        <v>8</v>
      </c>
      <c r="E393" s="8" t="s">
        <v>8</v>
      </c>
      <c r="F393" s="8" t="s">
        <v>8</v>
      </c>
      <c r="G393" s="94"/>
      <c r="H393" s="95"/>
    </row>
    <row r="394" spans="1:11" ht="15.75" thickBot="1" x14ac:dyDescent="0.3">
      <c r="A394" s="3" t="s">
        <v>24</v>
      </c>
      <c r="B394" s="6">
        <f>G394*56%</f>
        <v>0</v>
      </c>
      <c r="C394" s="6"/>
      <c r="D394" s="6"/>
      <c r="E394" s="8" t="s">
        <v>8</v>
      </c>
      <c r="F394" s="8" t="s">
        <v>8</v>
      </c>
      <c r="G394" s="90"/>
      <c r="H394" s="91"/>
    </row>
    <row r="395" spans="1:11" ht="15.75" thickBot="1" x14ac:dyDescent="0.3">
      <c r="A395" s="4" t="s">
        <v>25</v>
      </c>
      <c r="B395" s="6">
        <f>SUM(B379:B394)</f>
        <v>248862.08000000002</v>
      </c>
      <c r="C395" s="6"/>
      <c r="D395" s="6">
        <f>SUM(D379:D394)</f>
        <v>98556.84</v>
      </c>
      <c r="E395" s="6">
        <f>SUM(E379:E394)</f>
        <v>15359.079999999998</v>
      </c>
      <c r="F395" s="6"/>
      <c r="G395" s="90">
        <f>SUM(G379:H394)</f>
        <v>362778</v>
      </c>
      <c r="H395" s="91"/>
      <c r="J395" s="10"/>
    </row>
    <row r="396" spans="1:11" x14ac:dyDescent="0.25">
      <c r="A396" s="92" t="s">
        <v>26</v>
      </c>
      <c r="B396" s="92"/>
      <c r="C396" s="92"/>
      <c r="D396" s="92"/>
      <c r="E396" s="92"/>
      <c r="F396" s="92"/>
      <c r="G396" s="92"/>
      <c r="H396" s="92"/>
    </row>
    <row r="397" spans="1:11" x14ac:dyDescent="0.25">
      <c r="A397" s="93" t="s">
        <v>27</v>
      </c>
      <c r="B397" s="93"/>
      <c r="C397" s="93"/>
      <c r="D397" s="93"/>
      <c r="E397" s="93"/>
      <c r="F397" s="93"/>
      <c r="G397" s="93"/>
      <c r="H397" s="93"/>
    </row>
    <row r="398" spans="1:11" ht="17.25" customHeight="1" x14ac:dyDescent="0.25">
      <c r="A398" s="93" t="s">
        <v>28</v>
      </c>
      <c r="B398" s="93"/>
      <c r="C398" s="93"/>
      <c r="D398" s="93"/>
      <c r="E398" s="93"/>
      <c r="F398" s="93"/>
      <c r="G398" s="93"/>
      <c r="H398" s="93"/>
    </row>
    <row r="399" spans="1:11" ht="12.75" customHeight="1" x14ac:dyDescent="0.25">
      <c r="A399" s="1"/>
      <c r="B399" s="9"/>
      <c r="C399" s="9"/>
      <c r="D399" s="9"/>
      <c r="E399" s="9"/>
      <c r="F399" s="9"/>
      <c r="G399" s="9"/>
      <c r="H399" s="9"/>
    </row>
    <row r="400" spans="1:11" ht="27.75" customHeight="1" x14ac:dyDescent="0.25">
      <c r="A400" s="5"/>
      <c r="B400" s="13" t="s">
        <v>110</v>
      </c>
      <c r="C400" s="13">
        <v>213073</v>
      </c>
    </row>
    <row r="401" spans="1:11" x14ac:dyDescent="0.25">
      <c r="C401" s="10">
        <f>C400-B395</f>
        <v>-35789.080000000016</v>
      </c>
    </row>
    <row r="402" spans="1:11" x14ac:dyDescent="0.25">
      <c r="C402"/>
      <c r="D402"/>
      <c r="E402"/>
      <c r="F402"/>
      <c r="G402"/>
      <c r="H402"/>
    </row>
    <row r="403" spans="1:11" x14ac:dyDescent="0.25">
      <c r="C403"/>
      <c r="D403"/>
      <c r="E403"/>
      <c r="F403"/>
      <c r="G403"/>
      <c r="H403"/>
    </row>
    <row r="404" spans="1:11" x14ac:dyDescent="0.25">
      <c r="C404"/>
      <c r="D404"/>
      <c r="E404"/>
      <c r="F404"/>
      <c r="G404"/>
      <c r="H404"/>
    </row>
    <row r="405" spans="1:11" x14ac:dyDescent="0.25">
      <c r="C405"/>
      <c r="D405"/>
      <c r="E405"/>
      <c r="F405"/>
      <c r="G405"/>
      <c r="H405"/>
    </row>
    <row r="406" spans="1:11" x14ac:dyDescent="0.25">
      <c r="C406"/>
      <c r="D406"/>
      <c r="E406"/>
      <c r="F406"/>
      <c r="G406"/>
      <c r="H406"/>
    </row>
    <row r="407" spans="1:11" x14ac:dyDescent="0.25">
      <c r="C407"/>
      <c r="D407"/>
      <c r="E407"/>
      <c r="F407"/>
      <c r="G407"/>
      <c r="H407"/>
    </row>
    <row r="408" spans="1:11" x14ac:dyDescent="0.25">
      <c r="C408"/>
      <c r="D408"/>
      <c r="E408"/>
      <c r="F408"/>
      <c r="G408"/>
      <c r="H408"/>
      <c r="K408" s="10">
        <f>G437-G432</f>
        <v>387335</v>
      </c>
    </row>
    <row r="409" spans="1:11" x14ac:dyDescent="0.25">
      <c r="C409"/>
      <c r="D409"/>
      <c r="E409"/>
      <c r="F409"/>
      <c r="G409"/>
      <c r="H409"/>
      <c r="K409" s="10">
        <f>K408-371770</f>
        <v>15565</v>
      </c>
    </row>
    <row r="410" spans="1:11" x14ac:dyDescent="0.25">
      <c r="C410"/>
      <c r="D410"/>
      <c r="E410"/>
      <c r="F410"/>
      <c r="G410"/>
      <c r="H410"/>
    </row>
    <row r="411" spans="1:11" x14ac:dyDescent="0.25">
      <c r="C411"/>
      <c r="D411"/>
      <c r="E411"/>
      <c r="F411"/>
      <c r="G411"/>
      <c r="H411"/>
    </row>
    <row r="412" spans="1:11" x14ac:dyDescent="0.25">
      <c r="A412" s="22"/>
      <c r="B412" s="23"/>
      <c r="C412" s="23"/>
      <c r="D412" s="23"/>
      <c r="E412" s="112" t="s">
        <v>29</v>
      </c>
      <c r="F412" s="112"/>
      <c r="G412" s="112"/>
      <c r="H412" s="112"/>
    </row>
    <row r="413" spans="1:11" x14ac:dyDescent="0.25">
      <c r="A413" s="113"/>
      <c r="B413" s="114"/>
      <c r="C413" s="114"/>
      <c r="D413" s="115"/>
      <c r="E413" s="115" t="s">
        <v>0</v>
      </c>
      <c r="F413" s="115"/>
      <c r="G413" s="115"/>
      <c r="H413" s="115"/>
    </row>
    <row r="414" spans="1:11" x14ac:dyDescent="0.25">
      <c r="A414" s="113"/>
      <c r="B414" s="114"/>
      <c r="C414" s="114"/>
      <c r="D414" s="115"/>
      <c r="E414" s="126" t="s">
        <v>31</v>
      </c>
      <c r="F414" s="115"/>
      <c r="G414" s="115"/>
      <c r="H414" s="115"/>
    </row>
    <row r="415" spans="1:11" ht="15.75" thickBot="1" x14ac:dyDescent="0.3">
      <c r="A415" s="98" t="s">
        <v>51</v>
      </c>
      <c r="B415" s="98"/>
      <c r="C415" s="98"/>
      <c r="D415" s="98"/>
      <c r="E415" s="98"/>
      <c r="F415" s="98"/>
      <c r="G415" s="99"/>
      <c r="H415" s="99"/>
    </row>
    <row r="416" spans="1:11" x14ac:dyDescent="0.25">
      <c r="A416" s="100" t="s">
        <v>2</v>
      </c>
      <c r="B416" s="103" t="s">
        <v>30</v>
      </c>
      <c r="C416" s="104"/>
      <c r="D416" s="104"/>
      <c r="E416" s="104"/>
      <c r="F416" s="104"/>
      <c r="G416" s="105" t="s">
        <v>3</v>
      </c>
      <c r="H416" s="106"/>
    </row>
    <row r="417" spans="1:11" ht="180.75" thickBot="1" x14ac:dyDescent="0.3">
      <c r="A417" s="124"/>
      <c r="B417" s="105" t="s">
        <v>30</v>
      </c>
      <c r="C417" s="105"/>
      <c r="D417" s="15" t="s">
        <v>32</v>
      </c>
      <c r="E417" s="105" t="s">
        <v>4</v>
      </c>
      <c r="F417" s="105"/>
      <c r="G417" s="125"/>
      <c r="H417" s="109"/>
    </row>
    <row r="418" spans="1:11" ht="165.75" thickBot="1" x14ac:dyDescent="0.3">
      <c r="A418" s="102"/>
      <c r="B418" s="14" t="s">
        <v>36</v>
      </c>
      <c r="C418" s="25" t="s">
        <v>5</v>
      </c>
      <c r="D418" s="15" t="s">
        <v>33</v>
      </c>
      <c r="E418" s="25" t="s">
        <v>34</v>
      </c>
      <c r="F418" s="7" t="s">
        <v>35</v>
      </c>
      <c r="G418" s="110"/>
      <c r="H418" s="111"/>
    </row>
    <row r="419" spans="1:11" ht="15.75" thickBot="1" x14ac:dyDescent="0.3">
      <c r="A419" s="24">
        <v>1</v>
      </c>
      <c r="B419" s="7">
        <v>2</v>
      </c>
      <c r="C419" s="16">
        <v>3</v>
      </c>
      <c r="D419" s="25">
        <v>4</v>
      </c>
      <c r="E419" s="11">
        <v>5</v>
      </c>
      <c r="F419" s="7">
        <v>6</v>
      </c>
      <c r="G419" s="96" t="s">
        <v>37</v>
      </c>
      <c r="H419" s="97"/>
    </row>
    <row r="420" spans="1:11" ht="57.75" customHeight="1" thickBot="1" x14ac:dyDescent="0.3">
      <c r="A420" s="2" t="s">
        <v>7</v>
      </c>
      <c r="B420" s="6">
        <f>B421</f>
        <v>129144.52</v>
      </c>
      <c r="C420" s="12"/>
      <c r="D420" s="6">
        <f>D421</f>
        <v>40782.479999999996</v>
      </c>
      <c r="E420" s="8" t="s">
        <v>8</v>
      </c>
      <c r="F420" s="8" t="s">
        <v>8</v>
      </c>
      <c r="G420" s="90">
        <f>174390-4529+66</f>
        <v>169927</v>
      </c>
      <c r="H420" s="91"/>
    </row>
    <row r="421" spans="1:11" ht="15.75" thickBot="1" x14ac:dyDescent="0.3">
      <c r="A421" s="3" t="s">
        <v>9</v>
      </c>
      <c r="B421" s="6">
        <f>G421*76%</f>
        <v>129144.52</v>
      </c>
      <c r="C421" s="12"/>
      <c r="D421" s="26">
        <f>G421-B421</f>
        <v>40782.479999999996</v>
      </c>
      <c r="E421" s="8" t="s">
        <v>8</v>
      </c>
      <c r="F421" s="8" t="s">
        <v>8</v>
      </c>
      <c r="G421" s="90">
        <f>G420</f>
        <v>169927</v>
      </c>
      <c r="H421" s="91"/>
      <c r="I421">
        <f>G421/K425</f>
        <v>0.67488929046607227</v>
      </c>
    </row>
    <row r="422" spans="1:11" ht="15.75" thickBot="1" x14ac:dyDescent="0.3">
      <c r="A422" s="2" t="s">
        <v>10</v>
      </c>
      <c r="B422" s="6">
        <v>0</v>
      </c>
      <c r="C422" s="12"/>
      <c r="D422" s="6">
        <v>0</v>
      </c>
      <c r="E422" s="8" t="s">
        <v>8</v>
      </c>
      <c r="F422" s="8" t="s">
        <v>8</v>
      </c>
      <c r="G422" s="90">
        <v>0</v>
      </c>
      <c r="H422" s="91"/>
    </row>
    <row r="423" spans="1:11" ht="60.75" thickBot="1" x14ac:dyDescent="0.3">
      <c r="A423" s="2" t="s">
        <v>11</v>
      </c>
      <c r="B423" s="6">
        <f>G423*76%</f>
        <v>57890.720000000001</v>
      </c>
      <c r="C423" s="12"/>
      <c r="D423" s="26">
        <f>G423-B423</f>
        <v>18281.28</v>
      </c>
      <c r="E423" s="8" t="s">
        <v>8</v>
      </c>
      <c r="F423" s="8" t="s">
        <v>8</v>
      </c>
      <c r="G423" s="90">
        <f>77329-1157</f>
        <v>76172</v>
      </c>
      <c r="H423" s="91"/>
      <c r="I423">
        <f>G423/K425</f>
        <v>0.30252795043390196</v>
      </c>
    </row>
    <row r="424" spans="1:11" ht="30.75" thickBot="1" x14ac:dyDescent="0.3">
      <c r="A424" s="2" t="s">
        <v>12</v>
      </c>
      <c r="B424" s="6">
        <f>G424*76%</f>
        <v>4321.3599999999997</v>
      </c>
      <c r="C424" s="12"/>
      <c r="D424" s="26">
        <f>G424-B424</f>
        <v>1364.6400000000003</v>
      </c>
      <c r="E424" s="8" t="s">
        <v>8</v>
      </c>
      <c r="F424" s="8" t="s">
        <v>8</v>
      </c>
      <c r="G424" s="90">
        <v>5686</v>
      </c>
      <c r="H424" s="91"/>
      <c r="I424">
        <f>G424/K425</f>
        <v>2.2582759100025815E-2</v>
      </c>
    </row>
    <row r="425" spans="1:11" ht="15.75" thickBot="1" x14ac:dyDescent="0.3">
      <c r="A425" s="2" t="s">
        <v>13</v>
      </c>
      <c r="B425" s="6">
        <f>G425*56%</f>
        <v>14558.880000000001</v>
      </c>
      <c r="C425" s="6"/>
      <c r="D425" s="26">
        <f>G425-B425</f>
        <v>11439.119999999999</v>
      </c>
      <c r="E425" s="8" t="s">
        <v>8</v>
      </c>
      <c r="F425" s="8" t="s">
        <v>8</v>
      </c>
      <c r="G425" s="90">
        <v>25998</v>
      </c>
      <c r="H425" s="91"/>
      <c r="J425" s="10">
        <f>G424+G423+G421</f>
        <v>251785</v>
      </c>
      <c r="K425" s="10">
        <f>G420+G423+G424</f>
        <v>251785</v>
      </c>
    </row>
    <row r="426" spans="1:11" ht="30.75" thickBot="1" x14ac:dyDescent="0.3">
      <c r="A426" s="2" t="s">
        <v>14</v>
      </c>
      <c r="B426" s="6">
        <f>G426*56%</f>
        <v>12036.080000000002</v>
      </c>
      <c r="C426" s="6"/>
      <c r="D426" s="26">
        <f>G426-B426</f>
        <v>9456.9199999999983</v>
      </c>
      <c r="E426" s="8" t="s">
        <v>8</v>
      </c>
      <c r="F426" s="8" t="s">
        <v>8</v>
      </c>
      <c r="G426" s="90">
        <f>13939+7554</f>
        <v>21493</v>
      </c>
      <c r="H426" s="91"/>
    </row>
    <row r="427" spans="1:11" ht="45.75" thickBot="1" x14ac:dyDescent="0.3">
      <c r="A427" s="2" t="s">
        <v>15</v>
      </c>
      <c r="B427" s="8" t="s">
        <v>8</v>
      </c>
      <c r="C427" s="8" t="s">
        <v>8</v>
      </c>
      <c r="D427" s="6"/>
      <c r="E427" s="8" t="s">
        <v>8</v>
      </c>
      <c r="F427" s="8" t="s">
        <v>8</v>
      </c>
      <c r="G427" s="90"/>
      <c r="H427" s="91"/>
    </row>
    <row r="428" spans="1:11" ht="15.75" thickBot="1" x14ac:dyDescent="0.3">
      <c r="A428" s="2" t="s">
        <v>16</v>
      </c>
      <c r="B428" s="8" t="s">
        <v>8</v>
      </c>
      <c r="C428" s="8" t="s">
        <v>8</v>
      </c>
      <c r="D428" s="12"/>
      <c r="E428" s="6">
        <v>0</v>
      </c>
      <c r="F428" s="6"/>
      <c r="G428" s="90">
        <v>0</v>
      </c>
      <c r="H428" s="91"/>
    </row>
    <row r="429" spans="1:11" ht="15.75" thickBot="1" x14ac:dyDescent="0.3">
      <c r="A429" s="3" t="s">
        <v>17</v>
      </c>
      <c r="B429" s="6">
        <f>G429*56%</f>
        <v>0</v>
      </c>
      <c r="C429" s="8"/>
      <c r="D429" s="6"/>
      <c r="E429" s="6">
        <f>G429-B429</f>
        <v>0</v>
      </c>
      <c r="F429" s="6"/>
      <c r="G429" s="90">
        <v>0</v>
      </c>
      <c r="H429" s="91"/>
    </row>
    <row r="430" spans="1:11" ht="15.75" thickBot="1" x14ac:dyDescent="0.3">
      <c r="A430" s="3" t="s">
        <v>18</v>
      </c>
      <c r="B430" s="6"/>
      <c r="C430" s="8"/>
      <c r="D430" s="8"/>
      <c r="E430" s="6"/>
      <c r="F430" s="6"/>
      <c r="G430" s="90"/>
      <c r="H430" s="91"/>
    </row>
    <row r="431" spans="1:11" ht="45.75" thickBot="1" x14ac:dyDescent="0.3">
      <c r="A431" s="2" t="s">
        <v>19</v>
      </c>
      <c r="B431" s="6"/>
      <c r="C431" s="8"/>
      <c r="D431" s="6"/>
      <c r="E431" s="6"/>
      <c r="F431" s="6"/>
      <c r="G431" s="94"/>
      <c r="H431" s="95"/>
    </row>
    <row r="432" spans="1:11" ht="30.75" thickBot="1" x14ac:dyDescent="0.3">
      <c r="A432" s="2" t="s">
        <v>20</v>
      </c>
      <c r="B432" s="6"/>
      <c r="C432" s="8"/>
      <c r="D432" s="6"/>
      <c r="E432" s="6">
        <f>G432-B432</f>
        <v>38142</v>
      </c>
      <c r="F432" s="6"/>
      <c r="G432" s="90">
        <v>38142</v>
      </c>
      <c r="H432" s="91"/>
    </row>
    <row r="433" spans="1:10" ht="30.75" thickBot="1" x14ac:dyDescent="0.3">
      <c r="A433" s="2" t="s">
        <v>21</v>
      </c>
      <c r="B433" s="6">
        <f>G433*56%</f>
        <v>22850.800000000003</v>
      </c>
      <c r="C433" s="6"/>
      <c r="D433" s="26">
        <f>G433-B433</f>
        <v>17954.199999999997</v>
      </c>
      <c r="E433" s="8" t="s">
        <v>8</v>
      </c>
      <c r="F433" s="8" t="s">
        <v>8</v>
      </c>
      <c r="G433" s="90">
        <f>38990+241+1574</f>
        <v>40805</v>
      </c>
      <c r="H433" s="91"/>
    </row>
    <row r="434" spans="1:10" ht="15.75" thickBot="1" x14ac:dyDescent="0.3">
      <c r="A434" s="3" t="s">
        <v>22</v>
      </c>
      <c r="B434" s="6">
        <f>G434*56%</f>
        <v>26462.240000000002</v>
      </c>
      <c r="C434" s="6"/>
      <c r="D434" s="31">
        <f>G434-B434</f>
        <v>20791.759999999998</v>
      </c>
      <c r="E434" s="8" t="s">
        <v>8</v>
      </c>
      <c r="F434" s="8" t="s">
        <v>8</v>
      </c>
      <c r="G434" s="90">
        <f>15320+133+10125+17927+3739+10</f>
        <v>47254</v>
      </c>
      <c r="H434" s="91"/>
      <c r="J434">
        <v>40435</v>
      </c>
    </row>
    <row r="435" spans="1:10" ht="15.75" thickBot="1" x14ac:dyDescent="0.3">
      <c r="A435" s="3" t="s">
        <v>23</v>
      </c>
      <c r="B435" s="8" t="s">
        <v>8</v>
      </c>
      <c r="C435" s="12"/>
      <c r="D435" s="8" t="s">
        <v>8</v>
      </c>
      <c r="E435" s="8" t="s">
        <v>8</v>
      </c>
      <c r="F435" s="8" t="s">
        <v>8</v>
      </c>
      <c r="G435" s="94"/>
      <c r="H435" s="95"/>
    </row>
    <row r="436" spans="1:10" ht="15.75" thickBot="1" x14ac:dyDescent="0.3">
      <c r="A436" s="3" t="s">
        <v>24</v>
      </c>
      <c r="B436" s="6">
        <f>G436*56%</f>
        <v>0</v>
      </c>
      <c r="C436" s="6"/>
      <c r="D436" s="6"/>
      <c r="E436" s="8" t="s">
        <v>8</v>
      </c>
      <c r="F436" s="8" t="s">
        <v>8</v>
      </c>
      <c r="G436" s="90"/>
      <c r="H436" s="91"/>
    </row>
    <row r="437" spans="1:10" ht="15.75" thickBot="1" x14ac:dyDescent="0.3">
      <c r="A437" s="4" t="s">
        <v>25</v>
      </c>
      <c r="B437" s="6">
        <f>SUM(B421:B436)</f>
        <v>267264.59999999998</v>
      </c>
      <c r="C437" s="6"/>
      <c r="D437" s="6">
        <f>SUM(D421:D436)</f>
        <v>120070.39999999998</v>
      </c>
      <c r="E437" s="6">
        <f>SUM(E421:E436)</f>
        <v>38142</v>
      </c>
      <c r="F437" s="6"/>
      <c r="G437" s="90">
        <f>SUM(G421:H436)</f>
        <v>425477</v>
      </c>
      <c r="H437" s="91"/>
      <c r="J437" s="10">
        <f>425477-G437</f>
        <v>0</v>
      </c>
    </row>
    <row r="438" spans="1:10" x14ac:dyDescent="0.25">
      <c r="A438" s="92" t="s">
        <v>26</v>
      </c>
      <c r="B438" s="92"/>
      <c r="C438" s="92"/>
      <c r="D438" s="92"/>
      <c r="E438" s="92"/>
      <c r="F438" s="92"/>
      <c r="G438" s="92"/>
      <c r="H438" s="92"/>
    </row>
    <row r="439" spans="1:10" x14ac:dyDescent="0.25">
      <c r="A439" s="93" t="s">
        <v>27</v>
      </c>
      <c r="B439" s="93"/>
      <c r="C439" s="93"/>
      <c r="D439" s="93"/>
      <c r="E439" s="93"/>
      <c r="F439" s="93"/>
      <c r="G439" s="93"/>
      <c r="H439" s="93"/>
    </row>
    <row r="440" spans="1:10" x14ac:dyDescent="0.25">
      <c r="A440" s="93" t="s">
        <v>28</v>
      </c>
      <c r="B440" s="93"/>
      <c r="C440" s="93"/>
      <c r="D440" s="93"/>
      <c r="E440" s="93"/>
      <c r="F440" s="93"/>
      <c r="G440" s="93"/>
      <c r="H440" s="93"/>
    </row>
    <row r="441" spans="1:10" x14ac:dyDescent="0.25">
      <c r="A441" s="1"/>
      <c r="B441" s="9"/>
      <c r="C441" s="9"/>
      <c r="D441" s="9"/>
      <c r="E441" s="9"/>
      <c r="F441" s="9"/>
      <c r="G441" s="9"/>
      <c r="H441" s="9"/>
    </row>
    <row r="442" spans="1:10" ht="15.75" x14ac:dyDescent="0.25">
      <c r="A442" s="5"/>
      <c r="B442" s="13" t="s">
        <v>52</v>
      </c>
      <c r="C442" s="13">
        <v>233404</v>
      </c>
    </row>
    <row r="444" spans="1:10" x14ac:dyDescent="0.25">
      <c r="B444" s="10">
        <f>233404-B437</f>
        <v>-33860.599999999977</v>
      </c>
      <c r="C444"/>
      <c r="D444"/>
      <c r="E444"/>
      <c r="F444"/>
      <c r="G444"/>
      <c r="H444"/>
    </row>
    <row r="445" spans="1:10" x14ac:dyDescent="0.25">
      <c r="C445"/>
      <c r="D445"/>
      <c r="E445"/>
      <c r="F445"/>
      <c r="G445"/>
      <c r="H445"/>
    </row>
    <row r="446" spans="1:10" x14ac:dyDescent="0.25">
      <c r="C446"/>
      <c r="D446"/>
      <c r="E446"/>
      <c r="F446"/>
      <c r="G446"/>
      <c r="H446"/>
    </row>
    <row r="447" spans="1:10" x14ac:dyDescent="0.25">
      <c r="C447"/>
      <c r="D447"/>
      <c r="E447"/>
      <c r="F447"/>
      <c r="G447"/>
      <c r="H447"/>
    </row>
    <row r="448" spans="1:10" x14ac:dyDescent="0.25">
      <c r="C448"/>
      <c r="D448"/>
      <c r="E448"/>
      <c r="F448"/>
      <c r="G448"/>
      <c r="H448"/>
    </row>
    <row r="449" spans="3:11" x14ac:dyDescent="0.25">
      <c r="C449"/>
      <c r="D449"/>
      <c r="E449"/>
      <c r="F449"/>
      <c r="G449"/>
      <c r="H449"/>
    </row>
    <row r="450" spans="3:11" x14ac:dyDescent="0.25">
      <c r="C450"/>
      <c r="D450"/>
      <c r="E450"/>
      <c r="F450"/>
      <c r="G450"/>
      <c r="H450"/>
    </row>
    <row r="451" spans="3:11" x14ac:dyDescent="0.25">
      <c r="C451"/>
      <c r="D451"/>
      <c r="E451"/>
      <c r="F451"/>
      <c r="G451"/>
      <c r="H451"/>
    </row>
    <row r="452" spans="3:11" x14ac:dyDescent="0.25">
      <c r="C452"/>
      <c r="D452"/>
      <c r="E452"/>
      <c r="F452"/>
      <c r="G452"/>
      <c r="H452"/>
    </row>
    <row r="453" spans="3:11" x14ac:dyDescent="0.25">
      <c r="C453"/>
      <c r="D453"/>
      <c r="E453"/>
      <c r="F453"/>
      <c r="G453"/>
      <c r="H453"/>
    </row>
    <row r="454" spans="3:11" x14ac:dyDescent="0.25">
      <c r="C454"/>
      <c r="D454"/>
      <c r="E454"/>
      <c r="F454"/>
      <c r="G454"/>
      <c r="H454"/>
    </row>
    <row r="455" spans="3:11" x14ac:dyDescent="0.25">
      <c r="C455"/>
      <c r="D455"/>
      <c r="E455"/>
      <c r="F455"/>
      <c r="G455"/>
      <c r="H455"/>
    </row>
    <row r="457" spans="3:11" x14ac:dyDescent="0.25">
      <c r="K457" s="10" t="e">
        <f>#REF!-#REF!</f>
        <v>#REF!</v>
      </c>
    </row>
    <row r="458" spans="3:11" x14ac:dyDescent="0.25">
      <c r="K458" s="10" t="e">
        <f>K457-191414+66</f>
        <v>#REF!</v>
      </c>
    </row>
  </sheetData>
  <mergeCells count="444">
    <mergeCell ref="G395:H395"/>
    <mergeCell ref="A396:H396"/>
    <mergeCell ref="A397:H397"/>
    <mergeCell ref="A398:H398"/>
    <mergeCell ref="G389:H389"/>
    <mergeCell ref="G390:H390"/>
    <mergeCell ref="G391:H391"/>
    <mergeCell ref="G392:H392"/>
    <mergeCell ref="G393:H393"/>
    <mergeCell ref="G394:H394"/>
    <mergeCell ref="G384:H384"/>
    <mergeCell ref="G385:H385"/>
    <mergeCell ref="G386:H386"/>
    <mergeCell ref="G387:H387"/>
    <mergeCell ref="G388:H388"/>
    <mergeCell ref="G377:H377"/>
    <mergeCell ref="G378:H378"/>
    <mergeCell ref="G379:H379"/>
    <mergeCell ref="G380:H380"/>
    <mergeCell ref="G381:H381"/>
    <mergeCell ref="G382:H382"/>
    <mergeCell ref="A373:H373"/>
    <mergeCell ref="A374:A376"/>
    <mergeCell ref="B374:F374"/>
    <mergeCell ref="G374:H374"/>
    <mergeCell ref="B375:C375"/>
    <mergeCell ref="E375:F375"/>
    <mergeCell ref="G375:H375"/>
    <mergeCell ref="G376:H376"/>
    <mergeCell ref="G383:H383"/>
    <mergeCell ref="G359:H359"/>
    <mergeCell ref="A360:H360"/>
    <mergeCell ref="A361:H361"/>
    <mergeCell ref="A362:H362"/>
    <mergeCell ref="E370:H370"/>
    <mergeCell ref="A371:A372"/>
    <mergeCell ref="B371:B372"/>
    <mergeCell ref="C371:C372"/>
    <mergeCell ref="D371:D372"/>
    <mergeCell ref="E371:H371"/>
    <mergeCell ref="E372:H372"/>
    <mergeCell ref="E339:F339"/>
    <mergeCell ref="G339:H339"/>
    <mergeCell ref="G340:H340"/>
    <mergeCell ref="G353:H353"/>
    <mergeCell ref="G354:H354"/>
    <mergeCell ref="G355:H355"/>
    <mergeCell ref="G356:H356"/>
    <mergeCell ref="G357:H357"/>
    <mergeCell ref="G358:H358"/>
    <mergeCell ref="G347:H347"/>
    <mergeCell ref="G348:H348"/>
    <mergeCell ref="G349:H349"/>
    <mergeCell ref="G350:H350"/>
    <mergeCell ref="G351:H351"/>
    <mergeCell ref="G352:H352"/>
    <mergeCell ref="G282:H282"/>
    <mergeCell ref="A283:H283"/>
    <mergeCell ref="A284:H284"/>
    <mergeCell ref="A285:H285"/>
    <mergeCell ref="E334:H334"/>
    <mergeCell ref="A335:A336"/>
    <mergeCell ref="B335:B336"/>
    <mergeCell ref="C335:C336"/>
    <mergeCell ref="D335:D336"/>
    <mergeCell ref="E335:H335"/>
    <mergeCell ref="G324:H324"/>
    <mergeCell ref="A325:H325"/>
    <mergeCell ref="A326:H326"/>
    <mergeCell ref="A327:H327"/>
    <mergeCell ref="G312:H312"/>
    <mergeCell ref="G313:H313"/>
    <mergeCell ref="G314:H314"/>
    <mergeCell ref="G315:H315"/>
    <mergeCell ref="G316:H316"/>
    <mergeCell ref="G317:H317"/>
    <mergeCell ref="G306:H306"/>
    <mergeCell ref="G307:H307"/>
    <mergeCell ref="G308:H308"/>
    <mergeCell ref="G309:H309"/>
    <mergeCell ref="G276:H276"/>
    <mergeCell ref="G277:H277"/>
    <mergeCell ref="G278:H278"/>
    <mergeCell ref="G279:H279"/>
    <mergeCell ref="G280:H280"/>
    <mergeCell ref="G281:H281"/>
    <mergeCell ref="G270:H270"/>
    <mergeCell ref="G271:H271"/>
    <mergeCell ref="G272:H272"/>
    <mergeCell ref="G273:H273"/>
    <mergeCell ref="G274:H274"/>
    <mergeCell ref="G275:H275"/>
    <mergeCell ref="G264:H264"/>
    <mergeCell ref="G265:H265"/>
    <mergeCell ref="G266:H266"/>
    <mergeCell ref="G267:H267"/>
    <mergeCell ref="G268:H268"/>
    <mergeCell ref="G269:H269"/>
    <mergeCell ref="E259:H259"/>
    <mergeCell ref="A260:H260"/>
    <mergeCell ref="A261:A263"/>
    <mergeCell ref="B261:F261"/>
    <mergeCell ref="G261:H261"/>
    <mergeCell ref="B262:C262"/>
    <mergeCell ref="E262:F262"/>
    <mergeCell ref="G262:H262"/>
    <mergeCell ref="G263:H263"/>
    <mergeCell ref="G248:H248"/>
    <mergeCell ref="A249:H249"/>
    <mergeCell ref="A250:H250"/>
    <mergeCell ref="A251:H251"/>
    <mergeCell ref="E257:H257"/>
    <mergeCell ref="A258:A259"/>
    <mergeCell ref="B258:B259"/>
    <mergeCell ref="C258:C259"/>
    <mergeCell ref="D258:D259"/>
    <mergeCell ref="E258:H258"/>
    <mergeCell ref="G242:H242"/>
    <mergeCell ref="G243:H243"/>
    <mergeCell ref="G244:H244"/>
    <mergeCell ref="G245:H245"/>
    <mergeCell ref="G246:H246"/>
    <mergeCell ref="G247:H247"/>
    <mergeCell ref="G236:H236"/>
    <mergeCell ref="G237:H237"/>
    <mergeCell ref="G238:H238"/>
    <mergeCell ref="G239:H239"/>
    <mergeCell ref="G240:H240"/>
    <mergeCell ref="G241:H241"/>
    <mergeCell ref="G230:H230"/>
    <mergeCell ref="G231:H231"/>
    <mergeCell ref="G232:H232"/>
    <mergeCell ref="G233:H233"/>
    <mergeCell ref="G234:H234"/>
    <mergeCell ref="G235:H235"/>
    <mergeCell ref="E225:H225"/>
    <mergeCell ref="A226:H226"/>
    <mergeCell ref="A227:A229"/>
    <mergeCell ref="B227:F227"/>
    <mergeCell ref="G227:H227"/>
    <mergeCell ref="B228:C228"/>
    <mergeCell ref="E228:F228"/>
    <mergeCell ref="G228:H228"/>
    <mergeCell ref="G229:H229"/>
    <mergeCell ref="G214:H214"/>
    <mergeCell ref="A215:H215"/>
    <mergeCell ref="A216:H216"/>
    <mergeCell ref="A217:H217"/>
    <mergeCell ref="E223:H223"/>
    <mergeCell ref="A224:A225"/>
    <mergeCell ref="B224:B225"/>
    <mergeCell ref="C224:C225"/>
    <mergeCell ref="D224:D225"/>
    <mergeCell ref="E224:H224"/>
    <mergeCell ref="G208:H208"/>
    <mergeCell ref="G209:H209"/>
    <mergeCell ref="G210:H210"/>
    <mergeCell ref="G211:H211"/>
    <mergeCell ref="G212:H212"/>
    <mergeCell ref="G213:H213"/>
    <mergeCell ref="G202:H202"/>
    <mergeCell ref="G203:H203"/>
    <mergeCell ref="G204:H204"/>
    <mergeCell ref="G205:H205"/>
    <mergeCell ref="G206:H206"/>
    <mergeCell ref="G207:H207"/>
    <mergeCell ref="G196:H196"/>
    <mergeCell ref="G197:H197"/>
    <mergeCell ref="G198:H198"/>
    <mergeCell ref="G199:H199"/>
    <mergeCell ref="G200:H200"/>
    <mergeCell ref="G201:H201"/>
    <mergeCell ref="E191:H191"/>
    <mergeCell ref="A192:H192"/>
    <mergeCell ref="A193:A195"/>
    <mergeCell ref="B193:F193"/>
    <mergeCell ref="G193:H193"/>
    <mergeCell ref="B194:C194"/>
    <mergeCell ref="E194:F194"/>
    <mergeCell ref="G194:H194"/>
    <mergeCell ref="G195:H195"/>
    <mergeCell ref="G180:H180"/>
    <mergeCell ref="A181:H181"/>
    <mergeCell ref="A182:H182"/>
    <mergeCell ref="A183:H183"/>
    <mergeCell ref="E189:H189"/>
    <mergeCell ref="A190:A191"/>
    <mergeCell ref="B190:B191"/>
    <mergeCell ref="C190:C191"/>
    <mergeCell ref="D190:D191"/>
    <mergeCell ref="E190:H190"/>
    <mergeCell ref="E160:F160"/>
    <mergeCell ref="G160:H160"/>
    <mergeCell ref="G161:H161"/>
    <mergeCell ref="G174:H174"/>
    <mergeCell ref="G175:H175"/>
    <mergeCell ref="G176:H176"/>
    <mergeCell ref="G177:H177"/>
    <mergeCell ref="G178:H178"/>
    <mergeCell ref="G179:H179"/>
    <mergeCell ref="G168:H168"/>
    <mergeCell ref="G169:H169"/>
    <mergeCell ref="G170:H170"/>
    <mergeCell ref="G171:H171"/>
    <mergeCell ref="G172:H172"/>
    <mergeCell ref="G173:H173"/>
    <mergeCell ref="G101:H101"/>
    <mergeCell ref="A102:H102"/>
    <mergeCell ref="A103:H103"/>
    <mergeCell ref="A104:H104"/>
    <mergeCell ref="E155:H155"/>
    <mergeCell ref="A156:A157"/>
    <mergeCell ref="B156:B157"/>
    <mergeCell ref="C156:C157"/>
    <mergeCell ref="D156:D157"/>
    <mergeCell ref="E156:H156"/>
    <mergeCell ref="G145:H145"/>
    <mergeCell ref="A146:H146"/>
    <mergeCell ref="A147:H147"/>
    <mergeCell ref="A148:H148"/>
    <mergeCell ref="G133:H133"/>
    <mergeCell ref="G134:H134"/>
    <mergeCell ref="G135:H135"/>
    <mergeCell ref="G136:H136"/>
    <mergeCell ref="G137:H137"/>
    <mergeCell ref="G138:H138"/>
    <mergeCell ref="G127:H127"/>
    <mergeCell ref="G128:H128"/>
    <mergeCell ref="G129:H129"/>
    <mergeCell ref="G130:H130"/>
    <mergeCell ref="G81:H81"/>
    <mergeCell ref="G82:H82"/>
    <mergeCell ref="G95:H95"/>
    <mergeCell ref="G96:H96"/>
    <mergeCell ref="G97:H97"/>
    <mergeCell ref="G98:H98"/>
    <mergeCell ref="G99:H99"/>
    <mergeCell ref="G100:H100"/>
    <mergeCell ref="G89:H89"/>
    <mergeCell ref="G90:H90"/>
    <mergeCell ref="G91:H91"/>
    <mergeCell ref="G92:H92"/>
    <mergeCell ref="G93:H93"/>
    <mergeCell ref="G94:H94"/>
    <mergeCell ref="E43:F43"/>
    <mergeCell ref="A39:A40"/>
    <mergeCell ref="B39:B40"/>
    <mergeCell ref="A65:H65"/>
    <mergeCell ref="A66:H66"/>
    <mergeCell ref="E76:H76"/>
    <mergeCell ref="A77:A78"/>
    <mergeCell ref="B77:B78"/>
    <mergeCell ref="C77:C78"/>
    <mergeCell ref="D77:D78"/>
    <mergeCell ref="E77:H77"/>
    <mergeCell ref="E78:H78"/>
    <mergeCell ref="G60:H60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437:H437"/>
    <mergeCell ref="A438:H438"/>
    <mergeCell ref="A439:H439"/>
    <mergeCell ref="A440:H440"/>
    <mergeCell ref="B124:F124"/>
    <mergeCell ref="A3:A4"/>
    <mergeCell ref="B3:B4"/>
    <mergeCell ref="C3:C4"/>
    <mergeCell ref="D3:D4"/>
    <mergeCell ref="E4:H4"/>
    <mergeCell ref="B7:C7"/>
    <mergeCell ref="E7:F7"/>
    <mergeCell ref="G9:H9"/>
    <mergeCell ref="G27:H27"/>
    <mergeCell ref="A30:H30"/>
    <mergeCell ref="E38:H38"/>
    <mergeCell ref="C39:C40"/>
    <mergeCell ref="D39:D40"/>
    <mergeCell ref="E39:H39"/>
    <mergeCell ref="E40:H40"/>
    <mergeCell ref="A41:H41"/>
    <mergeCell ref="A42:A44"/>
    <mergeCell ref="B42:F42"/>
    <mergeCell ref="B43:C43"/>
    <mergeCell ref="G431:H431"/>
    <mergeCell ref="G432:H432"/>
    <mergeCell ref="G433:H433"/>
    <mergeCell ref="G434:H434"/>
    <mergeCell ref="G435:H435"/>
    <mergeCell ref="G436:H436"/>
    <mergeCell ref="G425:H425"/>
    <mergeCell ref="G426:H426"/>
    <mergeCell ref="G427:H427"/>
    <mergeCell ref="G428:H428"/>
    <mergeCell ref="G429:H429"/>
    <mergeCell ref="G430:H430"/>
    <mergeCell ref="G419:H419"/>
    <mergeCell ref="G420:H420"/>
    <mergeCell ref="G421:H421"/>
    <mergeCell ref="G422:H422"/>
    <mergeCell ref="G423:H423"/>
    <mergeCell ref="G424:H424"/>
    <mergeCell ref="E414:H414"/>
    <mergeCell ref="A415:H415"/>
    <mergeCell ref="A416:A418"/>
    <mergeCell ref="B416:F416"/>
    <mergeCell ref="G416:H416"/>
    <mergeCell ref="B417:C417"/>
    <mergeCell ref="E417:F417"/>
    <mergeCell ref="G417:H417"/>
    <mergeCell ref="G418:H418"/>
    <mergeCell ref="E412:H412"/>
    <mergeCell ref="A413:A414"/>
    <mergeCell ref="B413:B414"/>
    <mergeCell ref="C413:C414"/>
    <mergeCell ref="D413:D414"/>
    <mergeCell ref="E413:H413"/>
    <mergeCell ref="G318:H318"/>
    <mergeCell ref="G319:H319"/>
    <mergeCell ref="G320:H320"/>
    <mergeCell ref="G321:H321"/>
    <mergeCell ref="G322:H322"/>
    <mergeCell ref="G323:H323"/>
    <mergeCell ref="G341:H341"/>
    <mergeCell ref="G342:H342"/>
    <mergeCell ref="G343:H343"/>
    <mergeCell ref="G344:H344"/>
    <mergeCell ref="G345:H345"/>
    <mergeCell ref="G346:H346"/>
    <mergeCell ref="E336:H336"/>
    <mergeCell ref="A337:H337"/>
    <mergeCell ref="A338:A340"/>
    <mergeCell ref="B338:F338"/>
    <mergeCell ref="G338:H338"/>
    <mergeCell ref="B339:C339"/>
    <mergeCell ref="G310:H310"/>
    <mergeCell ref="G311:H311"/>
    <mergeCell ref="E301:H301"/>
    <mergeCell ref="A302:H302"/>
    <mergeCell ref="A303:A305"/>
    <mergeCell ref="B303:F303"/>
    <mergeCell ref="G303:H303"/>
    <mergeCell ref="B304:C304"/>
    <mergeCell ref="E304:F304"/>
    <mergeCell ref="G304:H304"/>
    <mergeCell ref="G305:H305"/>
    <mergeCell ref="E299:H299"/>
    <mergeCell ref="A300:A301"/>
    <mergeCell ref="B300:B301"/>
    <mergeCell ref="C300:C301"/>
    <mergeCell ref="D300:D301"/>
    <mergeCell ref="E300:H300"/>
    <mergeCell ref="G139:H139"/>
    <mergeCell ref="G140:H140"/>
    <mergeCell ref="G141:H141"/>
    <mergeCell ref="G142:H142"/>
    <mergeCell ref="G143:H143"/>
    <mergeCell ref="G144:H144"/>
    <mergeCell ref="G162:H162"/>
    <mergeCell ref="G163:H163"/>
    <mergeCell ref="G164:H164"/>
    <mergeCell ref="G165:H165"/>
    <mergeCell ref="G166:H166"/>
    <mergeCell ref="G167:H167"/>
    <mergeCell ref="E157:H157"/>
    <mergeCell ref="A158:H158"/>
    <mergeCell ref="A159:A161"/>
    <mergeCell ref="B159:F159"/>
    <mergeCell ref="G159:H159"/>
    <mergeCell ref="B160:C160"/>
    <mergeCell ref="G131:H131"/>
    <mergeCell ref="G132:H132"/>
    <mergeCell ref="E122:H122"/>
    <mergeCell ref="A123:H123"/>
    <mergeCell ref="A124:A126"/>
    <mergeCell ref="B125:C125"/>
    <mergeCell ref="E125:F125"/>
    <mergeCell ref="G125:H125"/>
    <mergeCell ref="G126:H126"/>
    <mergeCell ref="E120:H120"/>
    <mergeCell ref="A121:A122"/>
    <mergeCell ref="B121:B122"/>
    <mergeCell ref="C121:C122"/>
    <mergeCell ref="D121:D122"/>
    <mergeCell ref="E121:H121"/>
    <mergeCell ref="G54:H54"/>
    <mergeCell ref="G55:H55"/>
    <mergeCell ref="G56:H56"/>
    <mergeCell ref="G57:H57"/>
    <mergeCell ref="G58:H58"/>
    <mergeCell ref="G59:H59"/>
    <mergeCell ref="G83:H83"/>
    <mergeCell ref="G84:H84"/>
    <mergeCell ref="G85:H85"/>
    <mergeCell ref="G86:H86"/>
    <mergeCell ref="G87:H87"/>
    <mergeCell ref="G88:H88"/>
    <mergeCell ref="A79:H79"/>
    <mergeCell ref="A80:A82"/>
    <mergeCell ref="B80:F80"/>
    <mergeCell ref="G80:H80"/>
    <mergeCell ref="B81:C81"/>
    <mergeCell ref="E81:F81"/>
    <mergeCell ref="G16:H16"/>
    <mergeCell ref="G17:H17"/>
    <mergeCell ref="G18:H18"/>
    <mergeCell ref="G19:H19"/>
    <mergeCell ref="G8:H8"/>
    <mergeCell ref="G124:H124"/>
    <mergeCell ref="G10:H10"/>
    <mergeCell ref="G11:H11"/>
    <mergeCell ref="G12:H12"/>
    <mergeCell ref="G13:H13"/>
    <mergeCell ref="G61:H61"/>
    <mergeCell ref="G62:H62"/>
    <mergeCell ref="G63:H63"/>
    <mergeCell ref="A64:H64"/>
    <mergeCell ref="G26:H26"/>
    <mergeCell ref="A28:H28"/>
    <mergeCell ref="A29:H29"/>
    <mergeCell ref="G20:H20"/>
    <mergeCell ref="G21:H21"/>
    <mergeCell ref="G22:H22"/>
    <mergeCell ref="G23:H23"/>
    <mergeCell ref="G24:H24"/>
    <mergeCell ref="G25:H25"/>
    <mergeCell ref="G48:H48"/>
    <mergeCell ref="G6:H6"/>
    <mergeCell ref="G7:H7"/>
    <mergeCell ref="A5:H5"/>
    <mergeCell ref="A6:A8"/>
    <mergeCell ref="B6:F6"/>
    <mergeCell ref="E2:H2"/>
    <mergeCell ref="E3:H3"/>
    <mergeCell ref="G14:H14"/>
    <mergeCell ref="G15:H15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11"/>
  <sheetViews>
    <sheetView topLeftCell="A419" zoomScale="78" zoomScaleNormal="78" workbookViewId="0">
      <selection activeCell="A419" sqref="A1:XFD1048576"/>
    </sheetView>
  </sheetViews>
  <sheetFormatPr defaultRowHeight="15" x14ac:dyDescent="0.25"/>
  <cols>
    <col min="1" max="1" width="35.42578125" customWidth="1"/>
    <col min="2" max="2" width="25.7109375" style="10" customWidth="1"/>
    <col min="3" max="3" width="15.85546875" style="10" customWidth="1"/>
    <col min="4" max="4" width="16.140625" style="10" customWidth="1"/>
    <col min="5" max="5" width="17.28515625" style="10" customWidth="1"/>
    <col min="6" max="6" width="11.5703125" style="10" customWidth="1"/>
    <col min="7" max="7" width="12.7109375" style="10" customWidth="1"/>
    <col min="8" max="8" width="8.140625" style="10" customWidth="1"/>
    <col min="11" max="11" width="13.85546875" bestFit="1" customWidth="1"/>
  </cols>
  <sheetData>
    <row r="2" spans="1:9" x14ac:dyDescent="0.25">
      <c r="A2" s="22"/>
      <c r="B2" s="23"/>
      <c r="C2" s="23"/>
      <c r="D2" s="23"/>
      <c r="E2" s="112" t="s">
        <v>29</v>
      </c>
      <c r="F2" s="112"/>
      <c r="G2" s="112"/>
      <c r="H2" s="112"/>
    </row>
    <row r="3" spans="1:9" x14ac:dyDescent="0.25">
      <c r="A3" s="113"/>
      <c r="B3" s="114"/>
      <c r="C3" s="114"/>
      <c r="D3" s="115"/>
      <c r="E3" s="115" t="s">
        <v>0</v>
      </c>
      <c r="F3" s="115"/>
      <c r="G3" s="115"/>
      <c r="H3" s="115"/>
    </row>
    <row r="4" spans="1:9" x14ac:dyDescent="0.25">
      <c r="A4" s="113"/>
      <c r="B4" s="114"/>
      <c r="C4" s="114"/>
      <c r="D4" s="115"/>
      <c r="E4" s="128" t="s">
        <v>31</v>
      </c>
      <c r="F4" s="115"/>
      <c r="G4" s="115"/>
      <c r="H4" s="115"/>
    </row>
    <row r="5" spans="1:9" ht="15.75" thickBot="1" x14ac:dyDescent="0.3">
      <c r="A5" s="98" t="s">
        <v>111</v>
      </c>
      <c r="B5" s="98"/>
      <c r="C5" s="98"/>
      <c r="D5" s="98"/>
      <c r="E5" s="98"/>
      <c r="F5" s="98"/>
      <c r="G5" s="98"/>
      <c r="H5" s="98"/>
    </row>
    <row r="6" spans="1:9" x14ac:dyDescent="0.25">
      <c r="A6" s="100" t="s">
        <v>2</v>
      </c>
      <c r="B6" s="103" t="s">
        <v>30</v>
      </c>
      <c r="C6" s="104"/>
      <c r="D6" s="104"/>
      <c r="E6" s="104"/>
      <c r="F6" s="104"/>
      <c r="G6" s="105" t="s">
        <v>3</v>
      </c>
      <c r="H6" s="106"/>
    </row>
    <row r="7" spans="1:9" ht="135.75" thickBot="1" x14ac:dyDescent="0.3">
      <c r="A7" s="124"/>
      <c r="B7" s="105" t="s">
        <v>30</v>
      </c>
      <c r="C7" s="105"/>
      <c r="D7" s="15" t="s">
        <v>32</v>
      </c>
      <c r="E7" s="105" t="s">
        <v>4</v>
      </c>
      <c r="F7" s="105"/>
      <c r="G7" s="125"/>
      <c r="H7" s="109"/>
    </row>
    <row r="8" spans="1:9" ht="165.75" thickBot="1" x14ac:dyDescent="0.3">
      <c r="A8" s="102"/>
      <c r="B8" s="14" t="s">
        <v>36</v>
      </c>
      <c r="C8" s="25" t="s">
        <v>5</v>
      </c>
      <c r="D8" s="15" t="s">
        <v>33</v>
      </c>
      <c r="E8" s="25" t="s">
        <v>34</v>
      </c>
      <c r="F8" s="7" t="s">
        <v>35</v>
      </c>
      <c r="G8" s="110"/>
      <c r="H8" s="111"/>
    </row>
    <row r="9" spans="1:9" ht="15.75" thickBot="1" x14ac:dyDescent="0.3">
      <c r="A9" s="24">
        <v>1</v>
      </c>
      <c r="B9" s="7">
        <v>2</v>
      </c>
      <c r="C9" s="11">
        <v>3</v>
      </c>
      <c r="D9" s="7">
        <v>4</v>
      </c>
      <c r="E9" s="11">
        <v>5</v>
      </c>
      <c r="F9" s="7">
        <v>6</v>
      </c>
      <c r="G9" s="96" t="s">
        <v>6</v>
      </c>
      <c r="H9" s="97"/>
    </row>
    <row r="10" spans="1:9" ht="60.75" thickBot="1" x14ac:dyDescent="0.3">
      <c r="A10" s="2" t="s">
        <v>7</v>
      </c>
      <c r="B10" s="6">
        <f>B11</f>
        <v>12089</v>
      </c>
      <c r="C10" s="12"/>
      <c r="D10" s="6">
        <f>D11</f>
        <v>3611</v>
      </c>
      <c r="E10" s="8" t="s">
        <v>8</v>
      </c>
      <c r="F10" s="8" t="s">
        <v>8</v>
      </c>
      <c r="G10" s="90">
        <f>15960-171-89</f>
        <v>15700</v>
      </c>
      <c r="H10" s="91"/>
    </row>
    <row r="11" spans="1:9" ht="15.75" thickBot="1" x14ac:dyDescent="0.3">
      <c r="A11" s="3" t="s">
        <v>9</v>
      </c>
      <c r="B11" s="6">
        <f>G11*77%</f>
        <v>12089</v>
      </c>
      <c r="C11" s="12"/>
      <c r="D11" s="26">
        <f>G11-B11</f>
        <v>3611</v>
      </c>
      <c r="E11" s="8" t="s">
        <v>8</v>
      </c>
      <c r="F11" s="8" t="s">
        <v>8</v>
      </c>
      <c r="G11" s="90">
        <f>G10</f>
        <v>15700</v>
      </c>
      <c r="H11" s="91"/>
    </row>
    <row r="12" spans="1:9" ht="15.75" thickBot="1" x14ac:dyDescent="0.3">
      <c r="A12" s="2" t="s">
        <v>10</v>
      </c>
      <c r="B12" s="6">
        <v>0</v>
      </c>
      <c r="C12" s="12"/>
      <c r="D12" s="6">
        <v>0</v>
      </c>
      <c r="E12" s="8" t="s">
        <v>8</v>
      </c>
      <c r="F12" s="8" t="s">
        <v>8</v>
      </c>
      <c r="G12" s="90">
        <v>0</v>
      </c>
      <c r="H12" s="91"/>
    </row>
    <row r="13" spans="1:9" ht="60.75" thickBot="1" x14ac:dyDescent="0.3">
      <c r="A13" s="2" t="s">
        <v>11</v>
      </c>
      <c r="B13" s="6">
        <f t="shared" ref="B13" si="0">G13*77%</f>
        <v>5582.5</v>
      </c>
      <c r="C13" s="12"/>
      <c r="D13" s="26">
        <f>G13-B13</f>
        <v>1667.5</v>
      </c>
      <c r="E13" s="8" t="s">
        <v>8</v>
      </c>
      <c r="F13" s="8" t="s">
        <v>8</v>
      </c>
      <c r="G13" s="90">
        <f>7305-55</f>
        <v>7250</v>
      </c>
      <c r="H13" s="91"/>
    </row>
    <row r="14" spans="1:9" ht="30.75" thickBot="1" x14ac:dyDescent="0.3">
      <c r="A14" s="2" t="s">
        <v>12</v>
      </c>
      <c r="B14" s="6">
        <f>G14*77%</f>
        <v>242.55</v>
      </c>
      <c r="C14" s="12"/>
      <c r="D14" s="26">
        <f>G14-B14</f>
        <v>72.449999999999989</v>
      </c>
      <c r="E14" s="8" t="s">
        <v>8</v>
      </c>
      <c r="F14" s="8" t="s">
        <v>8</v>
      </c>
      <c r="G14" s="90">
        <f>171+89+55</f>
        <v>315</v>
      </c>
      <c r="H14" s="91"/>
      <c r="I14" s="10">
        <f>G14+G13+G11</f>
        <v>23265</v>
      </c>
    </row>
    <row r="15" spans="1:9" ht="15.75" thickBot="1" x14ac:dyDescent="0.3">
      <c r="A15" s="2" t="s">
        <v>13</v>
      </c>
      <c r="B15" s="6">
        <f>G15*56%</f>
        <v>1604.9600000000003</v>
      </c>
      <c r="C15" s="6"/>
      <c r="D15" s="26">
        <f>G15-B15</f>
        <v>1261.0399999999997</v>
      </c>
      <c r="E15" s="8" t="s">
        <v>8</v>
      </c>
      <c r="F15" s="8" t="s">
        <v>8</v>
      </c>
      <c r="G15" s="90">
        <v>2866</v>
      </c>
      <c r="H15" s="91"/>
    </row>
    <row r="16" spans="1:9" ht="30.75" thickBot="1" x14ac:dyDescent="0.3">
      <c r="A16" s="2" t="s">
        <v>14</v>
      </c>
      <c r="B16" s="6">
        <f>G16*56%</f>
        <v>94.080000000000013</v>
      </c>
      <c r="C16" s="6"/>
      <c r="D16" s="26">
        <f>G16-B16</f>
        <v>73.919999999999987</v>
      </c>
      <c r="E16" s="8" t="s">
        <v>8</v>
      </c>
      <c r="F16" s="8" t="s">
        <v>8</v>
      </c>
      <c r="G16" s="90">
        <f>40+128</f>
        <v>168</v>
      </c>
      <c r="H16" s="91"/>
    </row>
    <row r="17" spans="1:11" ht="45.75" thickBot="1" x14ac:dyDescent="0.3">
      <c r="A17" s="2" t="s">
        <v>15</v>
      </c>
      <c r="B17" s="8" t="s">
        <v>8</v>
      </c>
      <c r="C17" s="8" t="s">
        <v>8</v>
      </c>
      <c r="D17" s="6"/>
      <c r="E17" s="8" t="s">
        <v>8</v>
      </c>
      <c r="F17" s="8" t="s">
        <v>8</v>
      </c>
      <c r="G17" s="90"/>
      <c r="H17" s="91"/>
    </row>
    <row r="18" spans="1:11" ht="15.75" thickBot="1" x14ac:dyDescent="0.3">
      <c r="A18" s="2" t="s">
        <v>16</v>
      </c>
      <c r="B18" s="8" t="s">
        <v>8</v>
      </c>
      <c r="C18" s="8" t="s">
        <v>8</v>
      </c>
      <c r="D18" s="12"/>
      <c r="E18" s="6"/>
      <c r="F18" s="6"/>
      <c r="G18" s="90"/>
      <c r="H18" s="91"/>
    </row>
    <row r="19" spans="1:11" ht="15.75" thickBot="1" x14ac:dyDescent="0.3">
      <c r="A19" s="3" t="s">
        <v>17</v>
      </c>
      <c r="B19" s="6">
        <f>G19*56%</f>
        <v>0</v>
      </c>
      <c r="C19" s="8"/>
      <c r="D19" s="6"/>
      <c r="E19" s="6">
        <f>G19-B19</f>
        <v>0</v>
      </c>
      <c r="F19" s="6"/>
      <c r="G19" s="90">
        <v>0</v>
      </c>
      <c r="H19" s="91"/>
    </row>
    <row r="20" spans="1:11" ht="15.75" thickBot="1" x14ac:dyDescent="0.3">
      <c r="A20" s="3" t="s">
        <v>18</v>
      </c>
      <c r="B20" s="6"/>
      <c r="C20" s="8"/>
      <c r="D20" s="8"/>
      <c r="E20" s="6"/>
      <c r="F20" s="6"/>
      <c r="G20" s="90"/>
      <c r="H20" s="91"/>
    </row>
    <row r="21" spans="1:11" ht="45.75" thickBot="1" x14ac:dyDescent="0.3">
      <c r="A21" s="2" t="s">
        <v>19</v>
      </c>
      <c r="B21" s="6"/>
      <c r="C21" s="8"/>
      <c r="D21" s="6"/>
      <c r="E21" s="6"/>
      <c r="F21" s="6"/>
      <c r="G21" s="94"/>
      <c r="H21" s="95"/>
    </row>
    <row r="22" spans="1:11" ht="30.75" thickBot="1" x14ac:dyDescent="0.3">
      <c r="A22" s="2" t="s">
        <v>20</v>
      </c>
      <c r="B22" s="6"/>
      <c r="C22" s="8"/>
      <c r="D22" s="6"/>
      <c r="E22" s="6">
        <v>3234</v>
      </c>
      <c r="F22" s="6"/>
      <c r="G22" s="90">
        <v>3234</v>
      </c>
      <c r="H22" s="91"/>
    </row>
    <row r="23" spans="1:11" ht="30.75" thickBot="1" x14ac:dyDescent="0.3">
      <c r="A23" s="2" t="s">
        <v>21</v>
      </c>
      <c r="B23" s="6">
        <f>G23*56%</f>
        <v>924.00000000000011</v>
      </c>
      <c r="C23" s="6"/>
      <c r="D23" s="26">
        <f>G23-B23</f>
        <v>725.99999999999989</v>
      </c>
      <c r="E23" s="8" t="s">
        <v>8</v>
      </c>
      <c r="F23" s="8" t="s">
        <v>8</v>
      </c>
      <c r="G23" s="90">
        <v>1650</v>
      </c>
      <c r="H23" s="91"/>
    </row>
    <row r="24" spans="1:11" ht="15.75" thickBot="1" x14ac:dyDescent="0.3">
      <c r="A24" s="3" t="s">
        <v>22</v>
      </c>
      <c r="B24" s="6">
        <f>G24*56%</f>
        <v>2422.5600000000004</v>
      </c>
      <c r="C24" s="6"/>
      <c r="D24" s="31">
        <f>G24-B24</f>
        <v>1903.4399999999996</v>
      </c>
      <c r="E24" s="8" t="s">
        <v>8</v>
      </c>
      <c r="F24" s="8" t="s">
        <v>8</v>
      </c>
      <c r="G24" s="90">
        <f>1619+2707</f>
        <v>4326</v>
      </c>
      <c r="H24" s="91"/>
    </row>
    <row r="25" spans="1:11" ht="15.75" thickBot="1" x14ac:dyDescent="0.3">
      <c r="A25" s="3" t="s">
        <v>23</v>
      </c>
      <c r="B25" s="8" t="s">
        <v>8</v>
      </c>
      <c r="C25" s="12"/>
      <c r="D25" s="8" t="s">
        <v>8</v>
      </c>
      <c r="E25" s="8" t="s">
        <v>8</v>
      </c>
      <c r="F25" s="8" t="s">
        <v>8</v>
      </c>
      <c r="G25" s="94"/>
      <c r="H25" s="95"/>
    </row>
    <row r="26" spans="1:11" ht="15.75" thickBot="1" x14ac:dyDescent="0.3">
      <c r="A26" s="3" t="s">
        <v>24</v>
      </c>
      <c r="B26" s="6"/>
      <c r="C26" s="6"/>
      <c r="D26" s="6"/>
      <c r="E26" s="8" t="s">
        <v>8</v>
      </c>
      <c r="F26" s="8" t="s">
        <v>8</v>
      </c>
      <c r="G26" s="90"/>
      <c r="H26" s="91"/>
    </row>
    <row r="27" spans="1:11" ht="15.75" thickBot="1" x14ac:dyDescent="0.3">
      <c r="A27" s="4" t="s">
        <v>25</v>
      </c>
      <c r="B27" s="6">
        <f>SUM(B11:B26)</f>
        <v>22959.65</v>
      </c>
      <c r="C27" s="6"/>
      <c r="D27" s="6">
        <f>SUM(D11:D26)</f>
        <v>9315.3499999999985</v>
      </c>
      <c r="E27" s="6">
        <f>SUM(E11:E26)</f>
        <v>3234</v>
      </c>
      <c r="F27" s="6"/>
      <c r="G27" s="90">
        <f>SUM(G11:H26)</f>
        <v>35509</v>
      </c>
      <c r="H27" s="91"/>
    </row>
    <row r="28" spans="1:11" x14ac:dyDescent="0.25">
      <c r="A28" s="92" t="s">
        <v>26</v>
      </c>
      <c r="B28" s="92"/>
      <c r="C28" s="92"/>
      <c r="D28" s="92"/>
      <c r="E28" s="92"/>
      <c r="F28" s="92"/>
      <c r="G28" s="92"/>
      <c r="H28" s="92"/>
    </row>
    <row r="29" spans="1:11" x14ac:dyDescent="0.25">
      <c r="A29" s="93" t="s">
        <v>27</v>
      </c>
      <c r="B29" s="93"/>
      <c r="C29" s="93"/>
      <c r="D29" s="93"/>
      <c r="E29" s="93"/>
      <c r="F29" s="93"/>
      <c r="G29" s="93"/>
      <c r="H29" s="93"/>
    </row>
    <row r="30" spans="1:11" x14ac:dyDescent="0.25">
      <c r="A30" s="93" t="s">
        <v>28</v>
      </c>
      <c r="B30" s="93"/>
      <c r="C30" s="93"/>
      <c r="D30" s="93"/>
      <c r="E30" s="93"/>
      <c r="F30" s="93"/>
      <c r="G30" s="93"/>
      <c r="H30" s="93"/>
      <c r="K30" s="10" t="e">
        <f>G124-G119</f>
        <v>#VALUE!</v>
      </c>
    </row>
    <row r="31" spans="1:11" x14ac:dyDescent="0.25">
      <c r="K31" s="10" t="e">
        <f>K30-244898</f>
        <v>#VALUE!</v>
      </c>
    </row>
    <row r="32" spans="1:11" x14ac:dyDescent="0.25">
      <c r="B32" s="10" t="s">
        <v>112</v>
      </c>
      <c r="C32" s="10">
        <v>21665</v>
      </c>
    </row>
    <row r="33" spans="1:8" x14ac:dyDescent="0.25">
      <c r="C33" s="10">
        <f>C32-B27</f>
        <v>-1294.6500000000015</v>
      </c>
    </row>
    <row r="38" spans="1:8" x14ac:dyDescent="0.25">
      <c r="A38" s="22"/>
      <c r="B38" s="23"/>
      <c r="C38" s="23"/>
      <c r="D38" s="23"/>
      <c r="E38" s="112" t="s">
        <v>29</v>
      </c>
      <c r="F38" s="112"/>
      <c r="G38" s="112"/>
      <c r="H38" s="112"/>
    </row>
    <row r="39" spans="1:8" x14ac:dyDescent="0.25">
      <c r="A39" s="113"/>
      <c r="B39" s="114"/>
      <c r="C39" s="114"/>
      <c r="D39" s="115"/>
      <c r="E39" s="115" t="s">
        <v>0</v>
      </c>
      <c r="F39" s="115"/>
      <c r="G39" s="115"/>
      <c r="H39" s="115"/>
    </row>
    <row r="40" spans="1:8" x14ac:dyDescent="0.25">
      <c r="A40" s="113"/>
      <c r="B40" s="114"/>
      <c r="C40" s="114"/>
      <c r="D40" s="115"/>
      <c r="E40" s="128" t="s">
        <v>31</v>
      </c>
      <c r="F40" s="115"/>
      <c r="G40" s="115"/>
      <c r="H40" s="115"/>
    </row>
    <row r="41" spans="1:8" ht="15.75" thickBot="1" x14ac:dyDescent="0.3">
      <c r="A41" s="98" t="s">
        <v>113</v>
      </c>
      <c r="B41" s="98"/>
      <c r="C41" s="98"/>
      <c r="D41" s="98"/>
      <c r="E41" s="98"/>
      <c r="F41" s="98"/>
      <c r="G41" s="98"/>
      <c r="H41" s="98"/>
    </row>
    <row r="42" spans="1:8" x14ac:dyDescent="0.25">
      <c r="A42" s="100" t="s">
        <v>2</v>
      </c>
      <c r="B42" s="103" t="s">
        <v>30</v>
      </c>
      <c r="C42" s="104"/>
      <c r="D42" s="104"/>
      <c r="E42" s="104"/>
      <c r="F42" s="104"/>
      <c r="G42" s="105" t="s">
        <v>3</v>
      </c>
      <c r="H42" s="106"/>
    </row>
    <row r="43" spans="1:8" ht="135.75" thickBot="1" x14ac:dyDescent="0.3">
      <c r="A43" s="124"/>
      <c r="B43" s="105" t="s">
        <v>30</v>
      </c>
      <c r="C43" s="105"/>
      <c r="D43" s="15" t="s">
        <v>32</v>
      </c>
      <c r="E43" s="105" t="s">
        <v>4</v>
      </c>
      <c r="F43" s="105"/>
      <c r="G43" s="125"/>
      <c r="H43" s="109"/>
    </row>
    <row r="44" spans="1:8" ht="165.75" thickBot="1" x14ac:dyDescent="0.3">
      <c r="A44" s="102"/>
      <c r="B44" s="14" t="s">
        <v>36</v>
      </c>
      <c r="C44" s="25" t="s">
        <v>5</v>
      </c>
      <c r="D44" s="15" t="s">
        <v>33</v>
      </c>
      <c r="E44" s="25" t="s">
        <v>34</v>
      </c>
      <c r="F44" s="7" t="s">
        <v>35</v>
      </c>
      <c r="G44" s="110"/>
      <c r="H44" s="111"/>
    </row>
    <row r="45" spans="1:8" ht="15.75" thickBot="1" x14ac:dyDescent="0.3">
      <c r="A45" s="24">
        <v>1</v>
      </c>
      <c r="B45" s="7">
        <v>2</v>
      </c>
      <c r="C45" s="11">
        <v>3</v>
      </c>
      <c r="D45" s="7">
        <v>4</v>
      </c>
      <c r="E45" s="11">
        <v>5</v>
      </c>
      <c r="F45" s="7">
        <v>6</v>
      </c>
      <c r="G45" s="96" t="s">
        <v>6</v>
      </c>
      <c r="H45" s="97"/>
    </row>
    <row r="46" spans="1:8" ht="60.75" thickBot="1" x14ac:dyDescent="0.3">
      <c r="A46" s="2" t="s">
        <v>7</v>
      </c>
      <c r="B46" s="6">
        <f>B47</f>
        <v>23809.170000000002</v>
      </c>
      <c r="C46" s="12"/>
      <c r="D46" s="6">
        <f>D47</f>
        <v>7111.8299999999981</v>
      </c>
      <c r="E46" s="8" t="s">
        <v>8</v>
      </c>
      <c r="F46" s="8" t="s">
        <v>8</v>
      </c>
      <c r="G46" s="90">
        <f>31283-191-171</f>
        <v>30921</v>
      </c>
      <c r="H46" s="91"/>
    </row>
    <row r="47" spans="1:8" ht="15.75" thickBot="1" x14ac:dyDescent="0.3">
      <c r="A47" s="3" t="s">
        <v>9</v>
      </c>
      <c r="B47" s="6">
        <f>G47*77%</f>
        <v>23809.170000000002</v>
      </c>
      <c r="C47" s="12"/>
      <c r="D47" s="26">
        <f>G47-B47</f>
        <v>7111.8299999999981</v>
      </c>
      <c r="E47" s="8" t="s">
        <v>8</v>
      </c>
      <c r="F47" s="8" t="s">
        <v>8</v>
      </c>
      <c r="G47" s="90">
        <f>G46</f>
        <v>30921</v>
      </c>
      <c r="H47" s="91"/>
    </row>
    <row r="48" spans="1:8" ht="15.75" thickBot="1" x14ac:dyDescent="0.3">
      <c r="A48" s="2" t="s">
        <v>10</v>
      </c>
      <c r="B48" s="6">
        <v>0</v>
      </c>
      <c r="C48" s="12"/>
      <c r="D48" s="6">
        <v>0</v>
      </c>
      <c r="E48" s="8" t="s">
        <v>8</v>
      </c>
      <c r="F48" s="8" t="s">
        <v>8</v>
      </c>
      <c r="G48" s="90">
        <v>0</v>
      </c>
      <c r="H48" s="91"/>
    </row>
    <row r="49" spans="1:9" ht="60.75" thickBot="1" x14ac:dyDescent="0.3">
      <c r="A49" s="2" t="s">
        <v>11</v>
      </c>
      <c r="B49" s="6">
        <f t="shared" ref="B49" si="1">G49*77%</f>
        <v>11293.59</v>
      </c>
      <c r="C49" s="12"/>
      <c r="D49" s="26">
        <f>G49-B49</f>
        <v>3373.41</v>
      </c>
      <c r="E49" s="8" t="s">
        <v>8</v>
      </c>
      <c r="F49" s="8" t="s">
        <v>8</v>
      </c>
      <c r="G49" s="90">
        <f>14780-113</f>
        <v>14667</v>
      </c>
      <c r="H49" s="91"/>
    </row>
    <row r="50" spans="1:9" ht="30.75" thickBot="1" x14ac:dyDescent="0.3">
      <c r="A50" s="2" t="s">
        <v>12</v>
      </c>
      <c r="B50" s="6">
        <f>G50*77%</f>
        <v>365.75</v>
      </c>
      <c r="C50" s="12"/>
      <c r="D50" s="26">
        <f>G50-B50</f>
        <v>109.25</v>
      </c>
      <c r="E50" s="8" t="s">
        <v>8</v>
      </c>
      <c r="F50" s="8" t="s">
        <v>8</v>
      </c>
      <c r="G50" s="90">
        <f>113+191+171</f>
        <v>475</v>
      </c>
      <c r="H50" s="91"/>
      <c r="I50" s="10">
        <f>G50+G49+G47</f>
        <v>46063</v>
      </c>
    </row>
    <row r="51" spans="1:9" ht="15.75" thickBot="1" x14ac:dyDescent="0.3">
      <c r="A51" s="2" t="s">
        <v>13</v>
      </c>
      <c r="B51" s="6">
        <f>G51*56%</f>
        <v>1604.9600000000003</v>
      </c>
      <c r="C51" s="6"/>
      <c r="D51" s="26">
        <f>G51-B51</f>
        <v>1261.0399999999997</v>
      </c>
      <c r="E51" s="8" t="s">
        <v>8</v>
      </c>
      <c r="F51" s="8" t="s">
        <v>8</v>
      </c>
      <c r="G51" s="90">
        <v>2866</v>
      </c>
      <c r="H51" s="91"/>
    </row>
    <row r="52" spans="1:9" ht="30.75" thickBot="1" x14ac:dyDescent="0.3">
      <c r="A52" s="2" t="s">
        <v>14</v>
      </c>
      <c r="B52" s="6">
        <f>G52*56%</f>
        <v>172.48000000000002</v>
      </c>
      <c r="C52" s="6"/>
      <c r="D52" s="26">
        <f>G52-B52</f>
        <v>135.51999999999998</v>
      </c>
      <c r="E52" s="8" t="s">
        <v>8</v>
      </c>
      <c r="F52" s="8" t="s">
        <v>8</v>
      </c>
      <c r="G52" s="90">
        <f>92+216</f>
        <v>308</v>
      </c>
      <c r="H52" s="91"/>
    </row>
    <row r="53" spans="1:9" ht="45.75" thickBot="1" x14ac:dyDescent="0.3">
      <c r="A53" s="2" t="s">
        <v>15</v>
      </c>
      <c r="B53" s="8" t="s">
        <v>8</v>
      </c>
      <c r="C53" s="8" t="s">
        <v>8</v>
      </c>
      <c r="D53" s="6"/>
      <c r="E53" s="8" t="s">
        <v>8</v>
      </c>
      <c r="F53" s="8" t="s">
        <v>8</v>
      </c>
      <c r="G53" s="90"/>
      <c r="H53" s="91"/>
    </row>
    <row r="54" spans="1:9" ht="15.75" thickBot="1" x14ac:dyDescent="0.3">
      <c r="A54" s="2" t="s">
        <v>16</v>
      </c>
      <c r="B54" s="8" t="s">
        <v>8</v>
      </c>
      <c r="C54" s="8" t="s">
        <v>8</v>
      </c>
      <c r="D54" s="12">
        <v>0</v>
      </c>
      <c r="E54" s="6">
        <v>120</v>
      </c>
      <c r="F54" s="6"/>
      <c r="G54" s="90">
        <v>120</v>
      </c>
      <c r="H54" s="91"/>
    </row>
    <row r="55" spans="1:9" ht="15.75" thickBot="1" x14ac:dyDescent="0.3">
      <c r="A55" s="3" t="s">
        <v>17</v>
      </c>
      <c r="B55" s="6">
        <f>G55*56%</f>
        <v>0</v>
      </c>
      <c r="C55" s="8"/>
      <c r="D55" s="6"/>
      <c r="E55" s="6">
        <f>G55-B55</f>
        <v>0</v>
      </c>
      <c r="F55" s="6"/>
      <c r="G55" s="90">
        <v>0</v>
      </c>
      <c r="H55" s="91"/>
    </row>
    <row r="56" spans="1:9" ht="15.75" thickBot="1" x14ac:dyDescent="0.3">
      <c r="A56" s="3" t="s">
        <v>18</v>
      </c>
      <c r="B56" s="6"/>
      <c r="C56" s="8"/>
      <c r="D56" s="8"/>
      <c r="E56" s="6"/>
      <c r="F56" s="6"/>
      <c r="G56" s="90"/>
      <c r="H56" s="91"/>
    </row>
    <row r="57" spans="1:9" ht="45.75" thickBot="1" x14ac:dyDescent="0.3">
      <c r="A57" s="2" t="s">
        <v>19</v>
      </c>
      <c r="B57" s="6"/>
      <c r="C57" s="8"/>
      <c r="D57" s="6"/>
      <c r="E57" s="6"/>
      <c r="F57" s="6"/>
      <c r="G57" s="94"/>
      <c r="H57" s="95"/>
    </row>
    <row r="58" spans="1:9" ht="30.75" thickBot="1" x14ac:dyDescent="0.3">
      <c r="A58" s="2" t="s">
        <v>20</v>
      </c>
      <c r="B58" s="6"/>
      <c r="C58" s="8"/>
      <c r="D58" s="6"/>
      <c r="E58" s="6">
        <v>6469</v>
      </c>
      <c r="F58" s="6"/>
      <c r="G58" s="90">
        <v>6469</v>
      </c>
      <c r="H58" s="91"/>
    </row>
    <row r="59" spans="1:9" ht="30.75" thickBot="1" x14ac:dyDescent="0.3">
      <c r="A59" s="2" t="s">
        <v>21</v>
      </c>
      <c r="B59" s="6">
        <f>G59*56%</f>
        <v>7834.4000000000005</v>
      </c>
      <c r="C59" s="6"/>
      <c r="D59" s="26">
        <f>G59-B59</f>
        <v>6155.5999999999995</v>
      </c>
      <c r="E59" s="8" t="s">
        <v>8</v>
      </c>
      <c r="F59" s="8" t="s">
        <v>8</v>
      </c>
      <c r="G59" s="90">
        <f>14110-120</f>
        <v>13990</v>
      </c>
      <c r="H59" s="91"/>
    </row>
    <row r="60" spans="1:9" ht="15.75" thickBot="1" x14ac:dyDescent="0.3">
      <c r="A60" s="3" t="s">
        <v>22</v>
      </c>
      <c r="B60" s="6">
        <f>G60*56%</f>
        <v>3666.32</v>
      </c>
      <c r="C60" s="6"/>
      <c r="D60" s="31">
        <f>G60-B60</f>
        <v>2880.68</v>
      </c>
      <c r="E60" s="8" t="s">
        <v>8</v>
      </c>
      <c r="F60" s="8" t="s">
        <v>8</v>
      </c>
      <c r="G60" s="90">
        <f>3222+3325</f>
        <v>6547</v>
      </c>
      <c r="H60" s="91"/>
    </row>
    <row r="61" spans="1:9" ht="15.75" thickBot="1" x14ac:dyDescent="0.3">
      <c r="A61" s="3" t="s">
        <v>23</v>
      </c>
      <c r="B61" s="8" t="s">
        <v>8</v>
      </c>
      <c r="C61" s="12"/>
      <c r="D61" s="8" t="s">
        <v>8</v>
      </c>
      <c r="E61" s="8" t="s">
        <v>8</v>
      </c>
      <c r="F61" s="8" t="s">
        <v>8</v>
      </c>
      <c r="G61" s="94"/>
      <c r="H61" s="95"/>
    </row>
    <row r="62" spans="1:9" ht="15.75" thickBot="1" x14ac:dyDescent="0.3">
      <c r="A62" s="3" t="s">
        <v>24</v>
      </c>
      <c r="B62" s="6"/>
      <c r="C62" s="6"/>
      <c r="D62" s="6"/>
      <c r="E62" s="8" t="s">
        <v>8</v>
      </c>
      <c r="F62" s="8" t="s">
        <v>8</v>
      </c>
      <c r="G62" s="90"/>
      <c r="H62" s="91"/>
    </row>
    <row r="63" spans="1:9" ht="15.75" thickBot="1" x14ac:dyDescent="0.3">
      <c r="A63" s="4" t="s">
        <v>25</v>
      </c>
      <c r="B63" s="6">
        <f>SUM(B47:B62)</f>
        <v>48746.670000000006</v>
      </c>
      <c r="C63" s="6"/>
      <c r="D63" s="6">
        <f>SUM(D47:D62)</f>
        <v>21027.329999999998</v>
      </c>
      <c r="E63" s="6">
        <f>SUM(E47:E62)</f>
        <v>6589</v>
      </c>
      <c r="F63" s="6"/>
      <c r="G63" s="90">
        <f>SUM(G47:H62)</f>
        <v>76363</v>
      </c>
      <c r="H63" s="91"/>
      <c r="I63" s="10">
        <f>76363-G63</f>
        <v>0</v>
      </c>
    </row>
    <row r="64" spans="1:9" x14ac:dyDescent="0.25">
      <c r="A64" s="92" t="s">
        <v>26</v>
      </c>
      <c r="B64" s="92"/>
      <c r="C64" s="92"/>
      <c r="D64" s="92"/>
      <c r="E64" s="92"/>
      <c r="F64" s="92"/>
      <c r="G64" s="92"/>
      <c r="H64" s="92"/>
    </row>
    <row r="65" spans="1:11" x14ac:dyDescent="0.25">
      <c r="A65" s="93" t="s">
        <v>27</v>
      </c>
      <c r="B65" s="93"/>
      <c r="C65" s="93"/>
      <c r="D65" s="93"/>
      <c r="E65" s="93"/>
      <c r="F65" s="93"/>
      <c r="G65" s="93"/>
      <c r="H65" s="93"/>
    </row>
    <row r="66" spans="1:11" x14ac:dyDescent="0.25">
      <c r="A66" s="93" t="s">
        <v>28</v>
      </c>
      <c r="B66" s="93"/>
      <c r="C66" s="93"/>
      <c r="D66" s="93"/>
      <c r="E66" s="93"/>
      <c r="F66" s="93"/>
      <c r="G66" s="93"/>
      <c r="H66" s="93"/>
      <c r="K66" s="10">
        <f>G564-G559</f>
        <v>117223</v>
      </c>
    </row>
    <row r="67" spans="1:11" x14ac:dyDescent="0.25">
      <c r="K67" s="10">
        <f>K66-244898</f>
        <v>-127675</v>
      </c>
    </row>
    <row r="68" spans="1:11" x14ac:dyDescent="0.25">
      <c r="B68" s="10" t="s">
        <v>114</v>
      </c>
      <c r="C68" s="10">
        <v>42665</v>
      </c>
    </row>
    <row r="69" spans="1:11" x14ac:dyDescent="0.25">
      <c r="C69" s="10">
        <f>C68-B63</f>
        <v>-6081.6700000000055</v>
      </c>
    </row>
    <row r="76" spans="1:11" x14ac:dyDescent="0.25">
      <c r="A76" s="22"/>
      <c r="B76" s="23"/>
      <c r="C76" s="23"/>
      <c r="D76" s="23"/>
      <c r="E76" s="112" t="s">
        <v>29</v>
      </c>
      <c r="F76" s="112"/>
      <c r="G76" s="112"/>
      <c r="H76" s="112"/>
    </row>
    <row r="77" spans="1:11" x14ac:dyDescent="0.25">
      <c r="A77" s="113"/>
      <c r="B77" s="114"/>
      <c r="C77" s="114"/>
      <c r="D77" s="115"/>
      <c r="E77" s="115" t="s">
        <v>0</v>
      </c>
      <c r="F77" s="115"/>
      <c r="G77" s="115"/>
      <c r="H77" s="115"/>
    </row>
    <row r="78" spans="1:11" x14ac:dyDescent="0.25">
      <c r="A78" s="113"/>
      <c r="B78" s="114"/>
      <c r="C78" s="114"/>
      <c r="D78" s="115"/>
      <c r="E78" s="128" t="s">
        <v>31</v>
      </c>
      <c r="F78" s="115"/>
      <c r="G78" s="115"/>
      <c r="H78" s="115"/>
    </row>
    <row r="79" spans="1:11" ht="15.75" thickBot="1" x14ac:dyDescent="0.3">
      <c r="A79" s="98" t="s">
        <v>115</v>
      </c>
      <c r="B79" s="98"/>
      <c r="C79" s="98"/>
      <c r="D79" s="98"/>
      <c r="E79" s="98"/>
      <c r="F79" s="98"/>
      <c r="G79" s="98"/>
      <c r="H79" s="98"/>
    </row>
    <row r="80" spans="1:11" x14ac:dyDescent="0.25">
      <c r="A80" s="100" t="s">
        <v>2</v>
      </c>
      <c r="B80" s="103" t="s">
        <v>30</v>
      </c>
      <c r="C80" s="104"/>
      <c r="D80" s="104"/>
      <c r="E80" s="104"/>
      <c r="F80" s="104"/>
      <c r="G80" s="105" t="s">
        <v>3</v>
      </c>
      <c r="H80" s="106"/>
    </row>
    <row r="81" spans="1:9" ht="135.75" thickBot="1" x14ac:dyDescent="0.3">
      <c r="A81" s="124"/>
      <c r="B81" s="105" t="s">
        <v>30</v>
      </c>
      <c r="C81" s="105"/>
      <c r="D81" s="15" t="s">
        <v>32</v>
      </c>
      <c r="E81" s="105" t="s">
        <v>4</v>
      </c>
      <c r="F81" s="105"/>
      <c r="G81" s="125"/>
      <c r="H81" s="109"/>
    </row>
    <row r="82" spans="1:9" ht="165.75" thickBot="1" x14ac:dyDescent="0.3">
      <c r="A82" s="102"/>
      <c r="B82" s="14" t="s">
        <v>36</v>
      </c>
      <c r="C82" s="25" t="s">
        <v>5</v>
      </c>
      <c r="D82" s="15" t="s">
        <v>33</v>
      </c>
      <c r="E82" s="25" t="s">
        <v>34</v>
      </c>
      <c r="F82" s="7" t="s">
        <v>35</v>
      </c>
      <c r="G82" s="110"/>
      <c r="H82" s="111"/>
    </row>
    <row r="83" spans="1:9" ht="15.75" thickBot="1" x14ac:dyDescent="0.3">
      <c r="A83" s="24">
        <v>1</v>
      </c>
      <c r="B83" s="7">
        <v>2</v>
      </c>
      <c r="C83" s="11">
        <v>3</v>
      </c>
      <c r="D83" s="7">
        <v>4</v>
      </c>
      <c r="E83" s="11">
        <v>5</v>
      </c>
      <c r="F83" s="7">
        <v>6</v>
      </c>
      <c r="G83" s="96" t="s">
        <v>6</v>
      </c>
      <c r="H83" s="97"/>
    </row>
    <row r="84" spans="1:9" ht="60.75" thickBot="1" x14ac:dyDescent="0.3">
      <c r="A84" s="2" t="s">
        <v>7</v>
      </c>
      <c r="B84" s="6">
        <f>B85</f>
        <v>36490.300000000003</v>
      </c>
      <c r="C84" s="12"/>
      <c r="D84" s="6">
        <f>D85</f>
        <v>10899.699999999997</v>
      </c>
      <c r="E84" s="8" t="s">
        <v>8</v>
      </c>
      <c r="F84" s="8" t="s">
        <v>8</v>
      </c>
      <c r="G84" s="90">
        <f>47858-171-297</f>
        <v>47390</v>
      </c>
      <c r="H84" s="91"/>
    </row>
    <row r="85" spans="1:9" ht="15.75" thickBot="1" x14ac:dyDescent="0.3">
      <c r="A85" s="3" t="s">
        <v>9</v>
      </c>
      <c r="B85" s="6">
        <f>G85*77%</f>
        <v>36490.300000000003</v>
      </c>
      <c r="C85" s="12"/>
      <c r="D85" s="26">
        <f>G85-B85</f>
        <v>10899.699999999997</v>
      </c>
      <c r="E85" s="8" t="s">
        <v>8</v>
      </c>
      <c r="F85" s="8" t="s">
        <v>8</v>
      </c>
      <c r="G85" s="90">
        <f>G84</f>
        <v>47390</v>
      </c>
      <c r="H85" s="91"/>
    </row>
    <row r="86" spans="1:9" ht="15.75" thickBot="1" x14ac:dyDescent="0.3">
      <c r="A86" s="2" t="s">
        <v>10</v>
      </c>
      <c r="B86" s="6">
        <v>0</v>
      </c>
      <c r="C86" s="12"/>
      <c r="D86" s="6">
        <v>0</v>
      </c>
      <c r="E86" s="8" t="s">
        <v>8</v>
      </c>
      <c r="F86" s="8" t="s">
        <v>8</v>
      </c>
      <c r="G86" s="90">
        <v>0</v>
      </c>
      <c r="H86" s="91"/>
    </row>
    <row r="87" spans="1:9" ht="60.75" thickBot="1" x14ac:dyDescent="0.3">
      <c r="A87" s="2" t="s">
        <v>11</v>
      </c>
      <c r="B87" s="6">
        <f t="shared" ref="B87" si="2">G87*77%</f>
        <v>17004.68</v>
      </c>
      <c r="C87" s="12"/>
      <c r="D87" s="26">
        <f>G87-B87</f>
        <v>5079.32</v>
      </c>
      <c r="E87" s="8" t="s">
        <v>8</v>
      </c>
      <c r="F87" s="8" t="s">
        <v>8</v>
      </c>
      <c r="G87" s="90">
        <f>22254-170</f>
        <v>22084</v>
      </c>
      <c r="H87" s="91"/>
    </row>
    <row r="88" spans="1:9" ht="30.75" thickBot="1" x14ac:dyDescent="0.3">
      <c r="A88" s="2" t="s">
        <v>12</v>
      </c>
      <c r="B88" s="6">
        <f>G88*77%</f>
        <v>491.26</v>
      </c>
      <c r="C88" s="12"/>
      <c r="D88" s="26">
        <f>G88-B88</f>
        <v>146.74</v>
      </c>
      <c r="E88" s="8" t="s">
        <v>8</v>
      </c>
      <c r="F88" s="8" t="s">
        <v>8</v>
      </c>
      <c r="G88" s="90">
        <f>171+297+170</f>
        <v>638</v>
      </c>
      <c r="H88" s="91"/>
      <c r="I88" s="10">
        <f>G88+G87+G85</f>
        <v>70112</v>
      </c>
    </row>
    <row r="89" spans="1:9" ht="15.75" thickBot="1" x14ac:dyDescent="0.3">
      <c r="A89" s="2" t="s">
        <v>13</v>
      </c>
      <c r="B89" s="6">
        <f>G89*56%</f>
        <v>2376.0800000000004</v>
      </c>
      <c r="C89" s="6"/>
      <c r="D89" s="26">
        <f>G89-B89</f>
        <v>1866.9199999999996</v>
      </c>
      <c r="E89" s="8" t="s">
        <v>8</v>
      </c>
      <c r="F89" s="8" t="s">
        <v>8</v>
      </c>
      <c r="G89" s="90">
        <v>4243</v>
      </c>
      <c r="H89" s="91"/>
    </row>
    <row r="90" spans="1:9" ht="30.75" thickBot="1" x14ac:dyDescent="0.3">
      <c r="A90" s="2" t="s">
        <v>14</v>
      </c>
      <c r="B90" s="6">
        <f>G90*56%</f>
        <v>547.12</v>
      </c>
      <c r="C90" s="6"/>
      <c r="D90" s="26">
        <f>G90-B90</f>
        <v>429.88</v>
      </c>
      <c r="E90" s="8" t="s">
        <v>8</v>
      </c>
      <c r="F90" s="8" t="s">
        <v>8</v>
      </c>
      <c r="G90" s="90">
        <f>139+838</f>
        <v>977</v>
      </c>
      <c r="H90" s="91"/>
    </row>
    <row r="91" spans="1:9" ht="45.75" thickBot="1" x14ac:dyDescent="0.3">
      <c r="A91" s="2" t="s">
        <v>15</v>
      </c>
      <c r="B91" s="8" t="s">
        <v>8</v>
      </c>
      <c r="C91" s="8" t="s">
        <v>8</v>
      </c>
      <c r="D91" s="6"/>
      <c r="E91" s="8" t="s">
        <v>8</v>
      </c>
      <c r="F91" s="8" t="s">
        <v>8</v>
      </c>
      <c r="G91" s="90"/>
      <c r="H91" s="91"/>
    </row>
    <row r="92" spans="1:9" ht="15.75" thickBot="1" x14ac:dyDescent="0.3">
      <c r="A92" s="2" t="s">
        <v>16</v>
      </c>
      <c r="B92" s="8" t="s">
        <v>8</v>
      </c>
      <c r="C92" s="8" t="s">
        <v>8</v>
      </c>
      <c r="D92" s="12"/>
      <c r="E92" s="6">
        <v>120</v>
      </c>
      <c r="F92" s="6"/>
      <c r="G92" s="90">
        <v>120</v>
      </c>
      <c r="H92" s="91"/>
    </row>
    <row r="93" spans="1:9" ht="15.75" thickBot="1" x14ac:dyDescent="0.3">
      <c r="A93" s="3" t="s">
        <v>17</v>
      </c>
      <c r="B93" s="6">
        <f>G93*56%</f>
        <v>0</v>
      </c>
      <c r="C93" s="8"/>
      <c r="D93" s="6"/>
      <c r="E93" s="6">
        <f>G93-B93</f>
        <v>0</v>
      </c>
      <c r="F93" s="6"/>
      <c r="G93" s="90">
        <v>0</v>
      </c>
      <c r="H93" s="91"/>
    </row>
    <row r="94" spans="1:9" ht="15.75" thickBot="1" x14ac:dyDescent="0.3">
      <c r="A94" s="3" t="s">
        <v>18</v>
      </c>
      <c r="B94" s="6"/>
      <c r="C94" s="8"/>
      <c r="D94" s="8"/>
      <c r="E94" s="6"/>
      <c r="F94" s="6"/>
      <c r="G94" s="90"/>
      <c r="H94" s="91"/>
    </row>
    <row r="95" spans="1:9" ht="45.75" thickBot="1" x14ac:dyDescent="0.3">
      <c r="A95" s="2" t="s">
        <v>19</v>
      </c>
      <c r="B95" s="6"/>
      <c r="C95" s="8"/>
      <c r="D95" s="6"/>
      <c r="E95" s="6"/>
      <c r="F95" s="6"/>
      <c r="G95" s="94"/>
      <c r="H95" s="95"/>
    </row>
    <row r="96" spans="1:9" ht="30.75" thickBot="1" x14ac:dyDescent="0.3">
      <c r="A96" s="2" t="s">
        <v>20</v>
      </c>
      <c r="B96" s="6"/>
      <c r="C96" s="8"/>
      <c r="D96" s="6"/>
      <c r="E96" s="6">
        <v>9703</v>
      </c>
      <c r="F96" s="6"/>
      <c r="G96" s="90">
        <v>9703</v>
      </c>
      <c r="H96" s="91"/>
    </row>
    <row r="97" spans="1:11" ht="30.75" thickBot="1" x14ac:dyDescent="0.3">
      <c r="A97" s="2" t="s">
        <v>21</v>
      </c>
      <c r="B97" s="6">
        <f>G97*56%</f>
        <v>9979.2000000000007</v>
      </c>
      <c r="C97" s="6"/>
      <c r="D97" s="26">
        <f>G97-B97</f>
        <v>7840.7999999999993</v>
      </c>
      <c r="E97" s="8" t="s">
        <v>8</v>
      </c>
      <c r="F97" s="8" t="s">
        <v>8</v>
      </c>
      <c r="G97" s="90">
        <f>17824-120+116</f>
        <v>17820</v>
      </c>
      <c r="H97" s="91"/>
    </row>
    <row r="98" spans="1:11" ht="15.75" thickBot="1" x14ac:dyDescent="0.3">
      <c r="A98" s="3" t="s">
        <v>22</v>
      </c>
      <c r="B98" s="6">
        <f>G98*56%</f>
        <v>4475.5200000000004</v>
      </c>
      <c r="C98" s="6"/>
      <c r="D98" s="31">
        <f>G98-B98</f>
        <v>3516.4799999999996</v>
      </c>
      <c r="E98" s="8" t="s">
        <v>8</v>
      </c>
      <c r="F98" s="8" t="s">
        <v>8</v>
      </c>
      <c r="G98" s="90">
        <f>4657+3335</f>
        <v>7992</v>
      </c>
      <c r="H98" s="91"/>
    </row>
    <row r="99" spans="1:11" ht="15.75" thickBot="1" x14ac:dyDescent="0.3">
      <c r="A99" s="3" t="s">
        <v>23</v>
      </c>
      <c r="B99" s="8" t="s">
        <v>8</v>
      </c>
      <c r="C99" s="12"/>
      <c r="D99" s="8" t="s">
        <v>8</v>
      </c>
      <c r="E99" s="8" t="s">
        <v>8</v>
      </c>
      <c r="F99" s="8" t="s">
        <v>8</v>
      </c>
      <c r="G99" s="94"/>
      <c r="H99" s="95"/>
    </row>
    <row r="100" spans="1:11" ht="15.75" thickBot="1" x14ac:dyDescent="0.3">
      <c r="A100" s="3" t="s">
        <v>24</v>
      </c>
      <c r="B100" s="6"/>
      <c r="C100" s="6"/>
      <c r="D100" s="6"/>
      <c r="E100" s="8" t="s">
        <v>8</v>
      </c>
      <c r="F100" s="8" t="s">
        <v>8</v>
      </c>
      <c r="G100" s="90"/>
      <c r="H100" s="91"/>
    </row>
    <row r="101" spans="1:11" ht="15.75" thickBot="1" x14ac:dyDescent="0.3">
      <c r="A101" s="4" t="s">
        <v>25</v>
      </c>
      <c r="B101" s="6">
        <f>SUM(B85:B100)</f>
        <v>71364.160000000018</v>
      </c>
      <c r="C101" s="6"/>
      <c r="D101" s="6">
        <f>SUM(D85:D100)</f>
        <v>29779.839999999997</v>
      </c>
      <c r="E101" s="6">
        <f>SUM(E85:E100)</f>
        <v>9823</v>
      </c>
      <c r="F101" s="6"/>
      <c r="G101" s="90">
        <f>SUM(G85:H100)</f>
        <v>110967</v>
      </c>
      <c r="H101" s="91"/>
    </row>
    <row r="102" spans="1:11" x14ac:dyDescent="0.25">
      <c r="A102" s="92" t="s">
        <v>26</v>
      </c>
      <c r="B102" s="92"/>
      <c r="C102" s="92"/>
      <c r="D102" s="92"/>
      <c r="E102" s="92"/>
      <c r="F102" s="92"/>
      <c r="G102" s="92"/>
      <c r="H102" s="92"/>
    </row>
    <row r="103" spans="1:11" x14ac:dyDescent="0.25">
      <c r="A103" s="93" t="s">
        <v>27</v>
      </c>
      <c r="B103" s="93"/>
      <c r="C103" s="93"/>
      <c r="D103" s="93"/>
      <c r="E103" s="93"/>
      <c r="F103" s="93"/>
      <c r="G103" s="93"/>
      <c r="H103" s="93"/>
    </row>
    <row r="104" spans="1:11" x14ac:dyDescent="0.25">
      <c r="A104" s="93" t="s">
        <v>28</v>
      </c>
      <c r="B104" s="93"/>
      <c r="C104" s="93"/>
      <c r="D104" s="93"/>
      <c r="E104" s="93"/>
      <c r="F104" s="93"/>
      <c r="G104" s="93"/>
      <c r="H104" s="93"/>
      <c r="K104" s="10" t="e">
        <f>G678-G673</f>
        <v>#VALUE!</v>
      </c>
    </row>
    <row r="105" spans="1:11" x14ac:dyDescent="0.25">
      <c r="K105" s="10" t="e">
        <f>K104-244898</f>
        <v>#VALUE!</v>
      </c>
    </row>
    <row r="106" spans="1:11" x14ac:dyDescent="0.25">
      <c r="B106" s="10" t="s">
        <v>116</v>
      </c>
      <c r="C106" s="10">
        <v>63665</v>
      </c>
    </row>
    <row r="107" spans="1:11" x14ac:dyDescent="0.25">
      <c r="C107" s="10">
        <f>C106-B101</f>
        <v>-7699.160000000018</v>
      </c>
    </row>
    <row r="120" spans="1:8" x14ac:dyDescent="0.25">
      <c r="A120" s="22"/>
      <c r="B120" s="23"/>
      <c r="C120" s="23"/>
      <c r="D120" s="23"/>
      <c r="E120" s="112" t="s">
        <v>29</v>
      </c>
      <c r="F120" s="112"/>
      <c r="G120" s="112"/>
      <c r="H120" s="112"/>
    </row>
    <row r="121" spans="1:8" x14ac:dyDescent="0.25">
      <c r="A121" s="113"/>
      <c r="B121" s="114"/>
      <c r="C121" s="114"/>
      <c r="D121" s="115"/>
      <c r="E121" s="115" t="s">
        <v>0</v>
      </c>
      <c r="F121" s="115"/>
      <c r="G121" s="115"/>
      <c r="H121" s="115"/>
    </row>
    <row r="122" spans="1:8" x14ac:dyDescent="0.25">
      <c r="A122" s="113"/>
      <c r="B122" s="114"/>
      <c r="C122" s="114"/>
      <c r="D122" s="115"/>
      <c r="E122" s="128" t="s">
        <v>31</v>
      </c>
      <c r="F122" s="115"/>
      <c r="G122" s="115"/>
      <c r="H122" s="115"/>
    </row>
    <row r="123" spans="1:8" ht="15.75" thickBot="1" x14ac:dyDescent="0.3">
      <c r="A123" s="98" t="s">
        <v>117</v>
      </c>
      <c r="B123" s="98"/>
      <c r="C123" s="98"/>
      <c r="D123" s="98"/>
      <c r="E123" s="98"/>
      <c r="F123" s="98"/>
      <c r="G123" s="98"/>
      <c r="H123" s="98"/>
    </row>
    <row r="124" spans="1:8" x14ac:dyDescent="0.25">
      <c r="A124" s="100" t="s">
        <v>2</v>
      </c>
      <c r="B124" s="103" t="s">
        <v>30</v>
      </c>
      <c r="C124" s="104"/>
      <c r="D124" s="104"/>
      <c r="E124" s="104"/>
      <c r="F124" s="104"/>
      <c r="G124" s="105" t="s">
        <v>3</v>
      </c>
      <c r="H124" s="106"/>
    </row>
    <row r="125" spans="1:8" ht="135.75" thickBot="1" x14ac:dyDescent="0.3">
      <c r="A125" s="124"/>
      <c r="B125" s="105" t="s">
        <v>30</v>
      </c>
      <c r="C125" s="105"/>
      <c r="D125" s="15" t="s">
        <v>32</v>
      </c>
      <c r="E125" s="105" t="s">
        <v>4</v>
      </c>
      <c r="F125" s="105"/>
      <c r="G125" s="125"/>
      <c r="H125" s="109"/>
    </row>
    <row r="126" spans="1:8" ht="165.75" thickBot="1" x14ac:dyDescent="0.3">
      <c r="A126" s="102"/>
      <c r="B126" s="14" t="s">
        <v>36</v>
      </c>
      <c r="C126" s="25" t="s">
        <v>5</v>
      </c>
      <c r="D126" s="15" t="s">
        <v>33</v>
      </c>
      <c r="E126" s="25" t="s">
        <v>34</v>
      </c>
      <c r="F126" s="7" t="s">
        <v>35</v>
      </c>
      <c r="G126" s="110"/>
      <c r="H126" s="111"/>
    </row>
    <row r="127" spans="1:8" ht="15.75" thickBot="1" x14ac:dyDescent="0.3">
      <c r="A127" s="24">
        <v>1</v>
      </c>
      <c r="B127" s="7">
        <v>2</v>
      </c>
      <c r="C127" s="11">
        <v>3</v>
      </c>
      <c r="D127" s="7">
        <v>4</v>
      </c>
      <c r="E127" s="11">
        <v>5</v>
      </c>
      <c r="F127" s="7">
        <v>6</v>
      </c>
      <c r="G127" s="96" t="s">
        <v>6</v>
      </c>
      <c r="H127" s="97"/>
    </row>
    <row r="128" spans="1:8" ht="60.75" thickBot="1" x14ac:dyDescent="0.3">
      <c r="A128" s="2" t="s">
        <v>7</v>
      </c>
      <c r="B128" s="6">
        <f>B129</f>
        <v>48550.04</v>
      </c>
      <c r="C128" s="12"/>
      <c r="D128" s="6">
        <f>D129</f>
        <v>14501.96</v>
      </c>
      <c r="E128" s="8" t="s">
        <v>8</v>
      </c>
      <c r="F128" s="8" t="s">
        <v>8</v>
      </c>
      <c r="G128" s="90">
        <f>63610-171-387</f>
        <v>63052</v>
      </c>
      <c r="H128" s="91"/>
    </row>
    <row r="129" spans="1:9" ht="15.75" thickBot="1" x14ac:dyDescent="0.3">
      <c r="A129" s="3" t="s">
        <v>9</v>
      </c>
      <c r="B129" s="6">
        <f>G129*77%</f>
        <v>48550.04</v>
      </c>
      <c r="C129" s="12"/>
      <c r="D129" s="26">
        <f>G129-B129</f>
        <v>14501.96</v>
      </c>
      <c r="E129" s="8" t="s">
        <v>8</v>
      </c>
      <c r="F129" s="8" t="s">
        <v>8</v>
      </c>
      <c r="G129" s="90">
        <f>G128</f>
        <v>63052</v>
      </c>
      <c r="H129" s="91"/>
    </row>
    <row r="130" spans="1:9" ht="15.75" thickBot="1" x14ac:dyDescent="0.3">
      <c r="A130" s="2" t="s">
        <v>10</v>
      </c>
      <c r="B130" s="6">
        <v>0</v>
      </c>
      <c r="C130" s="12"/>
      <c r="D130" s="6">
        <v>0</v>
      </c>
      <c r="E130" s="8" t="s">
        <v>8</v>
      </c>
      <c r="F130" s="8" t="s">
        <v>8</v>
      </c>
      <c r="G130" s="90">
        <v>0</v>
      </c>
      <c r="H130" s="91"/>
    </row>
    <row r="131" spans="1:9" ht="60.75" thickBot="1" x14ac:dyDescent="0.3">
      <c r="A131" s="2" t="s">
        <v>11</v>
      </c>
      <c r="B131" s="6">
        <f t="shared" ref="B131" si="3">G131*77%</f>
        <v>22940.61</v>
      </c>
      <c r="C131" s="12"/>
      <c r="D131" s="26">
        <f>G131-B131</f>
        <v>6852.3899999999994</v>
      </c>
      <c r="E131" s="8" t="s">
        <v>8</v>
      </c>
      <c r="F131" s="8" t="s">
        <v>8</v>
      </c>
      <c r="G131" s="90">
        <f>30016-223</f>
        <v>29793</v>
      </c>
      <c r="H131" s="91"/>
    </row>
    <row r="132" spans="1:9" ht="30.75" thickBot="1" x14ac:dyDescent="0.3">
      <c r="A132" s="2" t="s">
        <v>12</v>
      </c>
      <c r="B132" s="6">
        <f>G132*77%</f>
        <v>601.37</v>
      </c>
      <c r="C132" s="12"/>
      <c r="D132" s="26">
        <f>G132-B132</f>
        <v>179.63</v>
      </c>
      <c r="E132" s="8" t="s">
        <v>8</v>
      </c>
      <c r="F132" s="8" t="s">
        <v>8</v>
      </c>
      <c r="G132" s="90">
        <f>223+171+387</f>
        <v>781</v>
      </c>
      <c r="H132" s="91"/>
      <c r="I132" s="10">
        <f>G129+G131+G132</f>
        <v>93626</v>
      </c>
    </row>
    <row r="133" spans="1:9" ht="15.75" thickBot="1" x14ac:dyDescent="0.3">
      <c r="A133" s="2" t="s">
        <v>13</v>
      </c>
      <c r="B133" s="6">
        <f>G133*56%</f>
        <v>3002.1600000000003</v>
      </c>
      <c r="C133" s="6"/>
      <c r="D133" s="26">
        <f>G133-B133</f>
        <v>2358.8399999999997</v>
      </c>
      <c r="E133" s="8" t="s">
        <v>8</v>
      </c>
      <c r="F133" s="8" t="s">
        <v>8</v>
      </c>
      <c r="G133" s="90">
        <v>5361</v>
      </c>
      <c r="H133" s="91"/>
    </row>
    <row r="134" spans="1:9" ht="30.75" thickBot="1" x14ac:dyDescent="0.3">
      <c r="A134" s="2" t="s">
        <v>14</v>
      </c>
      <c r="B134" s="6">
        <f>G134*56%</f>
        <v>670.32</v>
      </c>
      <c r="C134" s="6"/>
      <c r="D134" s="26">
        <f>G134-B134</f>
        <v>526.67999999999995</v>
      </c>
      <c r="E134" s="8" t="s">
        <v>8</v>
      </c>
      <c r="F134" s="8" t="s">
        <v>8</v>
      </c>
      <c r="G134" s="90">
        <f>341+856</f>
        <v>1197</v>
      </c>
      <c r="H134" s="91"/>
    </row>
    <row r="135" spans="1:9" ht="45.75" thickBot="1" x14ac:dyDescent="0.3">
      <c r="A135" s="2" t="s">
        <v>15</v>
      </c>
      <c r="B135" s="8" t="s">
        <v>8</v>
      </c>
      <c r="C135" s="8" t="s">
        <v>8</v>
      </c>
      <c r="D135" s="6"/>
      <c r="E135" s="8" t="s">
        <v>8</v>
      </c>
      <c r="F135" s="8" t="s">
        <v>8</v>
      </c>
      <c r="G135" s="90"/>
      <c r="H135" s="91"/>
    </row>
    <row r="136" spans="1:9" ht="15.75" thickBot="1" x14ac:dyDescent="0.3">
      <c r="A136" s="2" t="s">
        <v>16</v>
      </c>
      <c r="B136" s="8" t="s">
        <v>8</v>
      </c>
      <c r="C136" s="8" t="s">
        <v>8</v>
      </c>
      <c r="D136" s="12"/>
      <c r="E136" s="6">
        <v>120</v>
      </c>
      <c r="F136" s="6"/>
      <c r="G136" s="90">
        <v>120</v>
      </c>
      <c r="H136" s="91"/>
    </row>
    <row r="137" spans="1:9" ht="15.75" thickBot="1" x14ac:dyDescent="0.3">
      <c r="A137" s="3" t="s">
        <v>17</v>
      </c>
      <c r="B137" s="6">
        <f>G137*56%</f>
        <v>0</v>
      </c>
      <c r="C137" s="8"/>
      <c r="D137" s="6"/>
      <c r="E137" s="6">
        <f>G137-B137</f>
        <v>0</v>
      </c>
      <c r="F137" s="6"/>
      <c r="G137" s="90">
        <v>0</v>
      </c>
      <c r="H137" s="91"/>
    </row>
    <row r="138" spans="1:9" ht="15.75" thickBot="1" x14ac:dyDescent="0.3">
      <c r="A138" s="3" t="s">
        <v>18</v>
      </c>
      <c r="B138" s="6"/>
      <c r="C138" s="8"/>
      <c r="D138" s="8"/>
      <c r="E138" s="6"/>
      <c r="F138" s="6"/>
      <c r="G138" s="90"/>
      <c r="H138" s="91"/>
    </row>
    <row r="139" spans="1:9" ht="45.75" thickBot="1" x14ac:dyDescent="0.3">
      <c r="A139" s="2" t="s">
        <v>19</v>
      </c>
      <c r="B139" s="6"/>
      <c r="C139" s="8"/>
      <c r="D139" s="6"/>
      <c r="E139" s="6"/>
      <c r="F139" s="6"/>
      <c r="G139" s="94"/>
      <c r="H139" s="95"/>
    </row>
    <row r="140" spans="1:9" ht="30.75" thickBot="1" x14ac:dyDescent="0.3">
      <c r="A140" s="2" t="s">
        <v>20</v>
      </c>
      <c r="B140" s="6"/>
      <c r="C140" s="8"/>
      <c r="D140" s="6"/>
      <c r="E140" s="6">
        <v>12937</v>
      </c>
      <c r="F140" s="6"/>
      <c r="G140" s="90">
        <v>12937</v>
      </c>
      <c r="H140" s="91"/>
    </row>
    <row r="141" spans="1:9" ht="30.75" thickBot="1" x14ac:dyDescent="0.3">
      <c r="A141" s="2" t="s">
        <v>21</v>
      </c>
      <c r="B141" s="6">
        <f>G141*56%</f>
        <v>11258.240000000002</v>
      </c>
      <c r="C141" s="6"/>
      <c r="D141" s="26">
        <f>G141-B141</f>
        <v>8845.7599999999984</v>
      </c>
      <c r="E141" s="8" t="s">
        <v>8</v>
      </c>
      <c r="F141" s="8" t="s">
        <v>8</v>
      </c>
      <c r="G141" s="90">
        <f>20108-120+116</f>
        <v>20104</v>
      </c>
      <c r="H141" s="91"/>
    </row>
    <row r="142" spans="1:9" ht="15.75" thickBot="1" x14ac:dyDescent="0.3">
      <c r="A142" s="3" t="s">
        <v>22</v>
      </c>
      <c r="B142" s="6">
        <f>G142*56%</f>
        <v>5513.76</v>
      </c>
      <c r="C142" s="6"/>
      <c r="D142" s="31">
        <f>G142-B142</f>
        <v>4332.24</v>
      </c>
      <c r="E142" s="8" t="s">
        <v>8</v>
      </c>
      <c r="F142" s="8" t="s">
        <v>8</v>
      </c>
      <c r="G142" s="90">
        <f>6230+3616</f>
        <v>9846</v>
      </c>
      <c r="H142" s="91"/>
    </row>
    <row r="143" spans="1:9" ht="15.75" thickBot="1" x14ac:dyDescent="0.3">
      <c r="A143" s="3" t="s">
        <v>23</v>
      </c>
      <c r="B143" s="8" t="s">
        <v>8</v>
      </c>
      <c r="C143" s="12"/>
      <c r="D143" s="8" t="s">
        <v>8</v>
      </c>
      <c r="E143" s="8" t="s">
        <v>8</v>
      </c>
      <c r="F143" s="8" t="s">
        <v>8</v>
      </c>
      <c r="G143" s="94"/>
      <c r="H143" s="95"/>
    </row>
    <row r="144" spans="1:9" ht="15.75" thickBot="1" x14ac:dyDescent="0.3">
      <c r="A144" s="3" t="s">
        <v>24</v>
      </c>
      <c r="B144" s="6"/>
      <c r="C144" s="6"/>
      <c r="D144" s="6"/>
      <c r="E144" s="8" t="s">
        <v>8</v>
      </c>
      <c r="F144" s="8" t="s">
        <v>8</v>
      </c>
      <c r="G144" s="90"/>
      <c r="H144" s="91"/>
    </row>
    <row r="145" spans="1:11" ht="15.75" thickBot="1" x14ac:dyDescent="0.3">
      <c r="A145" s="4" t="s">
        <v>25</v>
      </c>
      <c r="B145" s="6">
        <f>SUM(B129:B144)</f>
        <v>92536.5</v>
      </c>
      <c r="C145" s="6"/>
      <c r="D145" s="6">
        <f>SUM(D129:D144)</f>
        <v>37597.499999999993</v>
      </c>
      <c r="E145" s="6">
        <f>SUM(E129:E144)</f>
        <v>13057</v>
      </c>
      <c r="F145" s="6"/>
      <c r="G145" s="90">
        <f>SUM(G129:H144)</f>
        <v>143191</v>
      </c>
      <c r="H145" s="91"/>
      <c r="I145" s="10">
        <f>143191-G145</f>
        <v>0</v>
      </c>
    </row>
    <row r="146" spans="1:11" x14ac:dyDescent="0.25">
      <c r="A146" s="92" t="s">
        <v>26</v>
      </c>
      <c r="B146" s="92"/>
      <c r="C146" s="92"/>
      <c r="D146" s="92"/>
      <c r="E146" s="92"/>
      <c r="F146" s="92"/>
      <c r="G146" s="92"/>
      <c r="H146" s="92"/>
    </row>
    <row r="147" spans="1:11" x14ac:dyDescent="0.25">
      <c r="A147" s="93" t="s">
        <v>27</v>
      </c>
      <c r="B147" s="93"/>
      <c r="C147" s="93"/>
      <c r="D147" s="93"/>
      <c r="E147" s="93"/>
      <c r="F147" s="93"/>
      <c r="G147" s="93"/>
      <c r="H147" s="93"/>
    </row>
    <row r="148" spans="1:11" x14ac:dyDescent="0.25">
      <c r="A148" s="93" t="s">
        <v>28</v>
      </c>
      <c r="B148" s="93"/>
      <c r="C148" s="93"/>
      <c r="D148" s="93"/>
      <c r="E148" s="93"/>
      <c r="F148" s="93"/>
      <c r="G148" s="93"/>
      <c r="H148" s="93"/>
      <c r="K148" s="10">
        <f>G581-G576</f>
        <v>263164</v>
      </c>
    </row>
    <row r="149" spans="1:11" x14ac:dyDescent="0.25">
      <c r="B149" s="10" t="s">
        <v>100</v>
      </c>
      <c r="C149" s="10">
        <v>84865</v>
      </c>
      <c r="K149" s="10">
        <f>K148-244898</f>
        <v>18266</v>
      </c>
    </row>
    <row r="150" spans="1:11" x14ac:dyDescent="0.25">
      <c r="C150" s="10">
        <f>C149-B145</f>
        <v>-7671.5</v>
      </c>
    </row>
    <row r="155" spans="1:11" x14ac:dyDescent="0.25">
      <c r="A155" s="22"/>
      <c r="B155" s="23"/>
      <c r="C155" s="23"/>
      <c r="D155" s="23"/>
      <c r="E155" s="112" t="s">
        <v>29</v>
      </c>
      <c r="F155" s="112"/>
      <c r="G155" s="112"/>
      <c r="H155" s="112"/>
    </row>
    <row r="156" spans="1:11" x14ac:dyDescent="0.25">
      <c r="A156" s="113"/>
      <c r="B156" s="114"/>
      <c r="C156" s="114"/>
      <c r="D156" s="115"/>
      <c r="E156" s="115" t="s">
        <v>0</v>
      </c>
      <c r="F156" s="115"/>
      <c r="G156" s="115"/>
      <c r="H156" s="115"/>
    </row>
    <row r="157" spans="1:11" x14ac:dyDescent="0.25">
      <c r="A157" s="113"/>
      <c r="B157" s="114"/>
      <c r="C157" s="114"/>
      <c r="D157" s="115"/>
      <c r="E157" s="128" t="s">
        <v>31</v>
      </c>
      <c r="F157" s="115"/>
      <c r="G157" s="115"/>
      <c r="H157" s="115"/>
    </row>
    <row r="158" spans="1:11" ht="15.75" thickBot="1" x14ac:dyDescent="0.3">
      <c r="A158" s="98" t="s">
        <v>118</v>
      </c>
      <c r="B158" s="98"/>
      <c r="C158" s="98"/>
      <c r="D158" s="98"/>
      <c r="E158" s="98"/>
      <c r="F158" s="98"/>
      <c r="G158" s="98"/>
      <c r="H158" s="98"/>
    </row>
    <row r="159" spans="1:11" x14ac:dyDescent="0.25">
      <c r="A159" s="100" t="s">
        <v>2</v>
      </c>
      <c r="B159" s="103" t="s">
        <v>30</v>
      </c>
      <c r="C159" s="104"/>
      <c r="D159" s="104"/>
      <c r="E159" s="104"/>
      <c r="F159" s="104"/>
      <c r="G159" s="105" t="s">
        <v>3</v>
      </c>
      <c r="H159" s="106"/>
    </row>
    <row r="160" spans="1:11" ht="135.75" thickBot="1" x14ac:dyDescent="0.3">
      <c r="A160" s="124"/>
      <c r="B160" s="105" t="s">
        <v>30</v>
      </c>
      <c r="C160" s="105"/>
      <c r="D160" s="15" t="s">
        <v>32</v>
      </c>
      <c r="E160" s="105" t="s">
        <v>4</v>
      </c>
      <c r="F160" s="105"/>
      <c r="G160" s="125"/>
      <c r="H160" s="109"/>
    </row>
    <row r="161" spans="1:9" ht="165.75" thickBot="1" x14ac:dyDescent="0.3">
      <c r="A161" s="102"/>
      <c r="B161" s="14" t="s">
        <v>36</v>
      </c>
      <c r="C161" s="25" t="s">
        <v>5</v>
      </c>
      <c r="D161" s="15" t="s">
        <v>33</v>
      </c>
      <c r="E161" s="25" t="s">
        <v>34</v>
      </c>
      <c r="F161" s="7" t="s">
        <v>35</v>
      </c>
      <c r="G161" s="110"/>
      <c r="H161" s="111"/>
    </row>
    <row r="162" spans="1:9" ht="15.75" thickBot="1" x14ac:dyDescent="0.3">
      <c r="A162" s="24">
        <v>1</v>
      </c>
      <c r="B162" s="7">
        <v>2</v>
      </c>
      <c r="C162" s="11">
        <v>3</v>
      </c>
      <c r="D162" s="7">
        <v>4</v>
      </c>
      <c r="E162" s="11">
        <v>5</v>
      </c>
      <c r="F162" s="7">
        <v>6</v>
      </c>
      <c r="G162" s="96" t="s">
        <v>6</v>
      </c>
      <c r="H162" s="97"/>
    </row>
    <row r="163" spans="1:9" ht="60.75" thickBot="1" x14ac:dyDescent="0.3">
      <c r="A163" s="2" t="s">
        <v>7</v>
      </c>
      <c r="B163" s="6">
        <f>B164</f>
        <v>60661.37</v>
      </c>
      <c r="C163" s="12"/>
      <c r="D163" s="6">
        <f>D164</f>
        <v>18119.629999999997</v>
      </c>
      <c r="E163" s="8" t="s">
        <v>8</v>
      </c>
      <c r="F163" s="8" t="s">
        <v>8</v>
      </c>
      <c r="G163" s="90">
        <f>79441-489-171</f>
        <v>78781</v>
      </c>
      <c r="H163" s="91"/>
    </row>
    <row r="164" spans="1:9" ht="15.75" thickBot="1" x14ac:dyDescent="0.3">
      <c r="A164" s="3" t="s">
        <v>9</v>
      </c>
      <c r="B164" s="6">
        <f>G164*77%</f>
        <v>60661.37</v>
      </c>
      <c r="C164" s="12"/>
      <c r="D164" s="26">
        <f>G164-B164</f>
        <v>18119.629999999997</v>
      </c>
      <c r="E164" s="8" t="s">
        <v>8</v>
      </c>
      <c r="F164" s="8" t="s">
        <v>8</v>
      </c>
      <c r="G164" s="90">
        <f>G163</f>
        <v>78781</v>
      </c>
      <c r="H164" s="91"/>
    </row>
    <row r="165" spans="1:9" ht="15.75" thickBot="1" x14ac:dyDescent="0.3">
      <c r="A165" s="2" t="s">
        <v>10</v>
      </c>
      <c r="B165" s="6">
        <v>0</v>
      </c>
      <c r="C165" s="12"/>
      <c r="D165" s="6">
        <v>0</v>
      </c>
      <c r="E165" s="8" t="s">
        <v>8</v>
      </c>
      <c r="F165" s="8" t="s">
        <v>8</v>
      </c>
      <c r="G165" s="90">
        <v>0</v>
      </c>
      <c r="H165" s="91"/>
    </row>
    <row r="166" spans="1:9" ht="60.75" thickBot="1" x14ac:dyDescent="0.3">
      <c r="A166" s="2" t="s">
        <v>11</v>
      </c>
      <c r="B166" s="6">
        <f>G166*77%</f>
        <v>29099.84</v>
      </c>
      <c r="C166" s="12"/>
      <c r="D166" s="26">
        <f>G166-B166</f>
        <v>8692.16</v>
      </c>
      <c r="E166" s="8" t="s">
        <v>8</v>
      </c>
      <c r="F166" s="8" t="s">
        <v>8</v>
      </c>
      <c r="G166" s="90">
        <f>38075-283</f>
        <v>37792</v>
      </c>
      <c r="H166" s="91"/>
    </row>
    <row r="167" spans="1:9" ht="30.75" thickBot="1" x14ac:dyDescent="0.3">
      <c r="A167" s="2" t="s">
        <v>12</v>
      </c>
      <c r="B167" s="6">
        <f>G167*77%</f>
        <v>726.11</v>
      </c>
      <c r="C167" s="12"/>
      <c r="D167" s="26">
        <f>G167-B167</f>
        <v>216.89</v>
      </c>
      <c r="E167" s="8" t="s">
        <v>8</v>
      </c>
      <c r="F167" s="8" t="s">
        <v>8</v>
      </c>
      <c r="G167" s="90">
        <f>283+171+489</f>
        <v>943</v>
      </c>
      <c r="H167" s="91"/>
      <c r="I167" s="10">
        <f>G164+G166+G167</f>
        <v>117516</v>
      </c>
    </row>
    <row r="168" spans="1:9" ht="15.75" thickBot="1" x14ac:dyDescent="0.3">
      <c r="A168" s="2" t="s">
        <v>13</v>
      </c>
      <c r="B168" s="6">
        <f>G168*56%</f>
        <v>3002.1600000000003</v>
      </c>
      <c r="C168" s="6"/>
      <c r="D168" s="26">
        <f>G168-B168</f>
        <v>2358.8399999999997</v>
      </c>
      <c r="E168" s="8" t="s">
        <v>8</v>
      </c>
      <c r="F168" s="8" t="s">
        <v>8</v>
      </c>
      <c r="G168" s="90">
        <v>5361</v>
      </c>
      <c r="H168" s="91"/>
    </row>
    <row r="169" spans="1:9" ht="30.75" thickBot="1" x14ac:dyDescent="0.3">
      <c r="A169" s="2" t="s">
        <v>14</v>
      </c>
      <c r="B169" s="6">
        <f>G169*56%</f>
        <v>844.48000000000013</v>
      </c>
      <c r="C169" s="6"/>
      <c r="D169" s="26">
        <f>G169-B169</f>
        <v>663.51999999999987</v>
      </c>
      <c r="E169" s="8" t="s">
        <v>8</v>
      </c>
      <c r="F169" s="8" t="s">
        <v>8</v>
      </c>
      <c r="G169" s="90">
        <f>652+856</f>
        <v>1508</v>
      </c>
      <c r="H169" s="91"/>
    </row>
    <row r="170" spans="1:9" ht="45.75" thickBot="1" x14ac:dyDescent="0.3">
      <c r="A170" s="2" t="s">
        <v>15</v>
      </c>
      <c r="B170" s="8" t="s">
        <v>8</v>
      </c>
      <c r="C170" s="8" t="s">
        <v>8</v>
      </c>
      <c r="D170" s="6"/>
      <c r="E170" s="8" t="s">
        <v>8</v>
      </c>
      <c r="F170" s="8" t="s">
        <v>8</v>
      </c>
      <c r="G170" s="90"/>
      <c r="H170" s="91"/>
    </row>
    <row r="171" spans="1:9" ht="15.75" thickBot="1" x14ac:dyDescent="0.3">
      <c r="A171" s="2" t="s">
        <v>16</v>
      </c>
      <c r="B171" s="8" t="s">
        <v>8</v>
      </c>
      <c r="C171" s="8" t="s">
        <v>8</v>
      </c>
      <c r="D171" s="12"/>
      <c r="E171" s="6">
        <v>120</v>
      </c>
      <c r="F171" s="6"/>
      <c r="G171" s="90">
        <v>120</v>
      </c>
      <c r="H171" s="91"/>
    </row>
    <row r="172" spans="1:9" ht="15.75" thickBot="1" x14ac:dyDescent="0.3">
      <c r="A172" s="3" t="s">
        <v>17</v>
      </c>
      <c r="B172" s="6">
        <f>G172*56%</f>
        <v>0</v>
      </c>
      <c r="C172" s="8"/>
      <c r="D172" s="6"/>
      <c r="E172" s="6">
        <f>G172-B172</f>
        <v>0</v>
      </c>
      <c r="F172" s="6"/>
      <c r="G172" s="90">
        <v>0</v>
      </c>
      <c r="H172" s="91"/>
    </row>
    <row r="173" spans="1:9" ht="15.75" thickBot="1" x14ac:dyDescent="0.3">
      <c r="A173" s="3" t="s">
        <v>18</v>
      </c>
      <c r="B173" s="6"/>
      <c r="C173" s="8"/>
      <c r="D173" s="8"/>
      <c r="E173" s="6"/>
      <c r="F173" s="6"/>
      <c r="G173" s="90"/>
      <c r="H173" s="91"/>
    </row>
    <row r="174" spans="1:9" ht="45.75" thickBot="1" x14ac:dyDescent="0.3">
      <c r="A174" s="2" t="s">
        <v>19</v>
      </c>
      <c r="B174" s="6"/>
      <c r="C174" s="8"/>
      <c r="D174" s="6"/>
      <c r="E174" s="6"/>
      <c r="F174" s="6"/>
      <c r="G174" s="94"/>
      <c r="H174" s="95"/>
    </row>
    <row r="175" spans="1:9" ht="30.75" thickBot="1" x14ac:dyDescent="0.3">
      <c r="A175" s="2" t="s">
        <v>20</v>
      </c>
      <c r="B175" s="6"/>
      <c r="C175" s="8"/>
      <c r="D175" s="6"/>
      <c r="E175" s="6">
        <v>16172</v>
      </c>
      <c r="F175" s="6"/>
      <c r="G175" s="90">
        <v>16172</v>
      </c>
      <c r="H175" s="91"/>
    </row>
    <row r="176" spans="1:9" ht="30.75" thickBot="1" x14ac:dyDescent="0.3">
      <c r="A176" s="2" t="s">
        <v>21</v>
      </c>
      <c r="B176" s="6">
        <f>G176*56%</f>
        <v>13541.920000000002</v>
      </c>
      <c r="C176" s="6"/>
      <c r="D176" s="26">
        <f>G176-B176</f>
        <v>10640.079999999998</v>
      </c>
      <c r="E176" s="8" t="s">
        <v>8</v>
      </c>
      <c r="F176" s="8" t="s">
        <v>8</v>
      </c>
      <c r="G176" s="90">
        <f>24186-120+116</f>
        <v>24182</v>
      </c>
      <c r="H176" s="91"/>
    </row>
    <row r="177" spans="1:11" ht="15.75" thickBot="1" x14ac:dyDescent="0.3">
      <c r="A177" s="3" t="s">
        <v>22</v>
      </c>
      <c r="B177" s="6">
        <f>G177*56%</f>
        <v>6382.3200000000006</v>
      </c>
      <c r="C177" s="6"/>
      <c r="D177" s="31">
        <f>G177-B177</f>
        <v>5014.6799999999994</v>
      </c>
      <c r="E177" s="8" t="s">
        <v>8</v>
      </c>
      <c r="F177" s="8" t="s">
        <v>8</v>
      </c>
      <c r="G177" s="90">
        <f>7741+3656</f>
        <v>11397</v>
      </c>
      <c r="H177" s="91"/>
    </row>
    <row r="178" spans="1:11" ht="15.75" thickBot="1" x14ac:dyDescent="0.3">
      <c r="A178" s="3" t="s">
        <v>23</v>
      </c>
      <c r="B178" s="8" t="s">
        <v>8</v>
      </c>
      <c r="C178" s="12"/>
      <c r="D178" s="8" t="s">
        <v>8</v>
      </c>
      <c r="E178" s="8" t="s">
        <v>8</v>
      </c>
      <c r="F178" s="8" t="s">
        <v>8</v>
      </c>
      <c r="G178" s="94"/>
      <c r="H178" s="95"/>
    </row>
    <row r="179" spans="1:11" ht="15.75" thickBot="1" x14ac:dyDescent="0.3">
      <c r="A179" s="3" t="s">
        <v>24</v>
      </c>
      <c r="B179" s="6"/>
      <c r="C179" s="6"/>
      <c r="D179" s="6"/>
      <c r="E179" s="8" t="s">
        <v>8</v>
      </c>
      <c r="F179" s="8" t="s">
        <v>8</v>
      </c>
      <c r="G179" s="90"/>
      <c r="H179" s="91"/>
    </row>
    <row r="180" spans="1:11" ht="15.75" thickBot="1" x14ac:dyDescent="0.3">
      <c r="A180" s="4" t="s">
        <v>25</v>
      </c>
      <c r="B180" s="6">
        <f>SUM(B164:B179)</f>
        <v>114258.20000000001</v>
      </c>
      <c r="C180" s="6"/>
      <c r="D180" s="6">
        <f>SUM(D164:D179)</f>
        <v>45705.799999999996</v>
      </c>
      <c r="E180" s="6">
        <f>SUM(E164:E179)</f>
        <v>16292</v>
      </c>
      <c r="F180" s="6"/>
      <c r="G180" s="90">
        <f>SUM(G164:H179)</f>
        <v>176256</v>
      </c>
      <c r="H180" s="91"/>
    </row>
    <row r="181" spans="1:11" x14ac:dyDescent="0.25">
      <c r="A181" s="92" t="s">
        <v>26</v>
      </c>
      <c r="B181" s="92"/>
      <c r="C181" s="92"/>
      <c r="D181" s="92"/>
      <c r="E181" s="92"/>
      <c r="F181" s="92"/>
      <c r="G181" s="92"/>
      <c r="H181" s="92"/>
    </row>
    <row r="182" spans="1:11" x14ac:dyDescent="0.25">
      <c r="A182" s="93" t="s">
        <v>27</v>
      </c>
      <c r="B182" s="93"/>
      <c r="C182" s="93"/>
      <c r="D182" s="93"/>
      <c r="E182" s="93"/>
      <c r="F182" s="93"/>
      <c r="G182" s="93"/>
      <c r="H182" s="93"/>
    </row>
    <row r="183" spans="1:11" x14ac:dyDescent="0.25">
      <c r="A183" s="93" t="s">
        <v>28</v>
      </c>
      <c r="B183" s="93"/>
      <c r="C183" s="93"/>
      <c r="D183" s="93"/>
      <c r="E183" s="93"/>
      <c r="F183" s="93"/>
      <c r="G183" s="93"/>
      <c r="H183" s="93"/>
      <c r="K183" s="10">
        <f>G692-G687</f>
        <v>0</v>
      </c>
    </row>
    <row r="184" spans="1:11" x14ac:dyDescent="0.25">
      <c r="B184" s="10" t="s">
        <v>119</v>
      </c>
      <c r="C184" s="10">
        <v>106265</v>
      </c>
      <c r="K184" s="10">
        <f>K183-244898</f>
        <v>-244898</v>
      </c>
    </row>
    <row r="185" spans="1:11" x14ac:dyDescent="0.25">
      <c r="C185" s="10">
        <f>C184-B180</f>
        <v>-7993.2000000000116</v>
      </c>
    </row>
    <row r="189" spans="1:11" x14ac:dyDescent="0.25">
      <c r="A189" s="37"/>
      <c r="B189" s="38"/>
      <c r="C189" s="38"/>
      <c r="D189" s="38"/>
      <c r="E189" s="112" t="s">
        <v>29</v>
      </c>
      <c r="F189" s="112"/>
      <c r="G189" s="112"/>
      <c r="H189" s="112"/>
    </row>
    <row r="190" spans="1:11" x14ac:dyDescent="0.25">
      <c r="A190" s="113"/>
      <c r="B190" s="114"/>
      <c r="C190" s="114"/>
      <c r="D190" s="115"/>
      <c r="E190" s="115" t="s">
        <v>0</v>
      </c>
      <c r="F190" s="115"/>
      <c r="G190" s="115"/>
      <c r="H190" s="115"/>
    </row>
    <row r="191" spans="1:11" x14ac:dyDescent="0.25">
      <c r="A191" s="113"/>
      <c r="B191" s="114"/>
      <c r="C191" s="114"/>
      <c r="D191" s="115"/>
      <c r="E191" s="128" t="s">
        <v>31</v>
      </c>
      <c r="F191" s="115"/>
      <c r="G191" s="115"/>
      <c r="H191" s="115"/>
    </row>
    <row r="192" spans="1:11" ht="15.75" thickBot="1" x14ac:dyDescent="0.3">
      <c r="A192" s="98" t="s">
        <v>141</v>
      </c>
      <c r="B192" s="98"/>
      <c r="C192" s="98"/>
      <c r="D192" s="98"/>
      <c r="E192" s="98"/>
      <c r="F192" s="98"/>
      <c r="G192" s="98"/>
      <c r="H192" s="98"/>
    </row>
    <row r="193" spans="1:9" x14ac:dyDescent="0.25">
      <c r="A193" s="100" t="s">
        <v>2</v>
      </c>
      <c r="B193" s="103" t="s">
        <v>30</v>
      </c>
      <c r="C193" s="104"/>
      <c r="D193" s="104"/>
      <c r="E193" s="104"/>
      <c r="F193" s="104"/>
      <c r="G193" s="105" t="s">
        <v>3</v>
      </c>
      <c r="H193" s="106"/>
    </row>
    <row r="194" spans="1:9" ht="135.75" thickBot="1" x14ac:dyDescent="0.3">
      <c r="A194" s="124"/>
      <c r="B194" s="105" t="s">
        <v>30</v>
      </c>
      <c r="C194" s="105"/>
      <c r="D194" s="15" t="s">
        <v>32</v>
      </c>
      <c r="E194" s="105" t="s">
        <v>4</v>
      </c>
      <c r="F194" s="105"/>
      <c r="G194" s="125"/>
      <c r="H194" s="109"/>
    </row>
    <row r="195" spans="1:9" ht="165.75" thickBot="1" x14ac:dyDescent="0.3">
      <c r="A195" s="102"/>
      <c r="B195" s="14" t="s">
        <v>36</v>
      </c>
      <c r="C195" s="35" t="s">
        <v>5</v>
      </c>
      <c r="D195" s="15" t="s">
        <v>33</v>
      </c>
      <c r="E195" s="35" t="s">
        <v>34</v>
      </c>
      <c r="F195" s="7" t="s">
        <v>35</v>
      </c>
      <c r="G195" s="110"/>
      <c r="H195" s="111"/>
    </row>
    <row r="196" spans="1:9" ht="15.75" thickBot="1" x14ac:dyDescent="0.3">
      <c r="A196" s="34">
        <v>1</v>
      </c>
      <c r="B196" s="7">
        <v>2</v>
      </c>
      <c r="C196" s="11">
        <v>3</v>
      </c>
      <c r="D196" s="7">
        <v>4</v>
      </c>
      <c r="E196" s="11">
        <v>5</v>
      </c>
      <c r="F196" s="7">
        <v>6</v>
      </c>
      <c r="G196" s="96" t="s">
        <v>6</v>
      </c>
      <c r="H196" s="97"/>
    </row>
    <row r="197" spans="1:9" ht="60.75" thickBot="1" x14ac:dyDescent="0.3">
      <c r="A197" s="2" t="s">
        <v>7</v>
      </c>
      <c r="B197" s="6">
        <f>B198</f>
        <v>73020.639999999999</v>
      </c>
      <c r="C197" s="12"/>
      <c r="D197" s="6">
        <f>D198</f>
        <v>21811.360000000001</v>
      </c>
      <c r="E197" s="8" t="s">
        <v>8</v>
      </c>
      <c r="F197" s="8" t="s">
        <v>8</v>
      </c>
      <c r="G197" s="90">
        <f>76550+18282</f>
        <v>94832</v>
      </c>
      <c r="H197" s="91"/>
    </row>
    <row r="198" spans="1:9" ht="15.75" thickBot="1" x14ac:dyDescent="0.3">
      <c r="A198" s="3" t="s">
        <v>9</v>
      </c>
      <c r="B198" s="6">
        <f>G198*77%</f>
        <v>73020.639999999999</v>
      </c>
      <c r="C198" s="12"/>
      <c r="D198" s="36">
        <f>G198-B198</f>
        <v>21811.360000000001</v>
      </c>
      <c r="E198" s="8" t="s">
        <v>8</v>
      </c>
      <c r="F198" s="8" t="s">
        <v>8</v>
      </c>
      <c r="G198" s="90">
        <f>G197</f>
        <v>94832</v>
      </c>
      <c r="H198" s="91"/>
    </row>
    <row r="199" spans="1:9" ht="15.75" thickBot="1" x14ac:dyDescent="0.3">
      <c r="A199" s="2" t="s">
        <v>10</v>
      </c>
      <c r="B199" s="6">
        <v>0</v>
      </c>
      <c r="C199" s="12"/>
      <c r="D199" s="6">
        <v>0</v>
      </c>
      <c r="E199" s="8" t="s">
        <v>8</v>
      </c>
      <c r="F199" s="8" t="s">
        <v>8</v>
      </c>
      <c r="G199" s="90">
        <v>0</v>
      </c>
      <c r="H199" s="91"/>
    </row>
    <row r="200" spans="1:9" ht="60.75" thickBot="1" x14ac:dyDescent="0.3">
      <c r="A200" s="2" t="s">
        <v>11</v>
      </c>
      <c r="B200" s="6">
        <f>G200*77%</f>
        <v>35276.78</v>
      </c>
      <c r="C200" s="12"/>
      <c r="D200" s="36">
        <f>G200-B200</f>
        <v>10537.220000000001</v>
      </c>
      <c r="E200" s="8" t="s">
        <v>8</v>
      </c>
      <c r="F200" s="8" t="s">
        <v>8</v>
      </c>
      <c r="G200" s="90">
        <f>38233+7581</f>
        <v>45814</v>
      </c>
      <c r="H200" s="91"/>
    </row>
    <row r="201" spans="1:9" ht="30.75" thickBot="1" x14ac:dyDescent="0.3">
      <c r="A201" s="2" t="s">
        <v>12</v>
      </c>
      <c r="B201" s="6">
        <f>G201*77%</f>
        <v>871.64</v>
      </c>
      <c r="C201" s="12"/>
      <c r="D201" s="36">
        <f>G201-B201</f>
        <v>260.36</v>
      </c>
      <c r="E201" s="8" t="s">
        <v>8</v>
      </c>
      <c r="F201" s="8" t="s">
        <v>8</v>
      </c>
      <c r="G201" s="90">
        <v>1132</v>
      </c>
      <c r="H201" s="91"/>
      <c r="I201" s="10">
        <f>G198+G200+G201</f>
        <v>141778</v>
      </c>
    </row>
    <row r="202" spans="1:9" ht="15.75" thickBot="1" x14ac:dyDescent="0.3">
      <c r="A202" s="2" t="s">
        <v>13</v>
      </c>
      <c r="B202" s="6">
        <f>G202*56%</f>
        <v>3002.1600000000003</v>
      </c>
      <c r="C202" s="6"/>
      <c r="D202" s="36">
        <f>G202-B202</f>
        <v>2358.8399999999997</v>
      </c>
      <c r="E202" s="8" t="s">
        <v>8</v>
      </c>
      <c r="F202" s="8" t="s">
        <v>8</v>
      </c>
      <c r="G202" s="90">
        <v>5361</v>
      </c>
      <c r="H202" s="91"/>
    </row>
    <row r="203" spans="1:9" ht="30.75" thickBot="1" x14ac:dyDescent="0.3">
      <c r="A203" s="2" t="s">
        <v>14</v>
      </c>
      <c r="B203" s="6">
        <f>G203*56%</f>
        <v>1128.96</v>
      </c>
      <c r="C203" s="6"/>
      <c r="D203" s="36">
        <f>G203-B203</f>
        <v>887.04</v>
      </c>
      <c r="E203" s="8" t="s">
        <v>8</v>
      </c>
      <c r="F203" s="8" t="s">
        <v>8</v>
      </c>
      <c r="G203" s="90">
        <f>1160+856</f>
        <v>2016</v>
      </c>
      <c r="H203" s="91"/>
    </row>
    <row r="204" spans="1:9" ht="45.75" thickBot="1" x14ac:dyDescent="0.3">
      <c r="A204" s="2" t="s">
        <v>15</v>
      </c>
      <c r="B204" s="8" t="s">
        <v>8</v>
      </c>
      <c r="C204" s="8" t="s">
        <v>8</v>
      </c>
      <c r="D204" s="6"/>
      <c r="E204" s="8" t="s">
        <v>8</v>
      </c>
      <c r="F204" s="8" t="s">
        <v>8</v>
      </c>
      <c r="G204" s="90"/>
      <c r="H204" s="91"/>
    </row>
    <row r="205" spans="1:9" ht="15.75" thickBot="1" x14ac:dyDescent="0.3">
      <c r="A205" s="2" t="s">
        <v>16</v>
      </c>
      <c r="B205" s="8" t="s">
        <v>8</v>
      </c>
      <c r="C205" s="8" t="s">
        <v>8</v>
      </c>
      <c r="D205" s="12"/>
      <c r="E205" s="6">
        <v>120</v>
      </c>
      <c r="F205" s="6"/>
      <c r="G205" s="90">
        <v>120</v>
      </c>
      <c r="H205" s="91"/>
    </row>
    <row r="206" spans="1:9" ht="15.75" thickBot="1" x14ac:dyDescent="0.3">
      <c r="A206" s="3" t="s">
        <v>17</v>
      </c>
      <c r="B206" s="6">
        <f>G206*56%</f>
        <v>0</v>
      </c>
      <c r="C206" s="8"/>
      <c r="D206" s="6"/>
      <c r="E206" s="6">
        <f>G206-B206</f>
        <v>0</v>
      </c>
      <c r="F206" s="6"/>
      <c r="G206" s="90">
        <v>0</v>
      </c>
      <c r="H206" s="91"/>
    </row>
    <row r="207" spans="1:9" ht="15.75" thickBot="1" x14ac:dyDescent="0.3">
      <c r="A207" s="3" t="s">
        <v>18</v>
      </c>
      <c r="B207" s="6"/>
      <c r="C207" s="8"/>
      <c r="D207" s="8"/>
      <c r="E207" s="6"/>
      <c r="F207" s="6"/>
      <c r="G207" s="90"/>
      <c r="H207" s="91"/>
    </row>
    <row r="208" spans="1:9" ht="45.75" thickBot="1" x14ac:dyDescent="0.3">
      <c r="A208" s="2" t="s">
        <v>19</v>
      </c>
      <c r="B208" s="6"/>
      <c r="C208" s="8"/>
      <c r="D208" s="6"/>
      <c r="E208" s="6"/>
      <c r="F208" s="6"/>
      <c r="G208" s="94"/>
      <c r="H208" s="95"/>
    </row>
    <row r="209" spans="1:11" ht="30.75" thickBot="1" x14ac:dyDescent="0.3">
      <c r="A209" s="2" t="s">
        <v>20</v>
      </c>
      <c r="B209" s="6"/>
      <c r="C209" s="8"/>
      <c r="D209" s="6"/>
      <c r="E209" s="6">
        <v>19406</v>
      </c>
      <c r="F209" s="6"/>
      <c r="G209" s="90">
        <v>19406</v>
      </c>
      <c r="H209" s="91"/>
    </row>
    <row r="210" spans="1:11" ht="30.75" thickBot="1" x14ac:dyDescent="0.3">
      <c r="A210" s="2" t="s">
        <v>21</v>
      </c>
      <c r="B210" s="6">
        <f>G210*56%</f>
        <v>15406.720000000001</v>
      </c>
      <c r="C210" s="6"/>
      <c r="D210" s="36">
        <f>G210-B210</f>
        <v>12105.279999999999</v>
      </c>
      <c r="E210" s="8" t="s">
        <v>8</v>
      </c>
      <c r="F210" s="8" t="s">
        <v>8</v>
      </c>
      <c r="G210" s="90">
        <f>27516-120+116</f>
        <v>27512</v>
      </c>
      <c r="H210" s="91"/>
    </row>
    <row r="211" spans="1:11" ht="15.75" thickBot="1" x14ac:dyDescent="0.3">
      <c r="A211" s="3" t="s">
        <v>22</v>
      </c>
      <c r="B211" s="6">
        <f>G211*56%</f>
        <v>8664.3200000000015</v>
      </c>
      <c r="C211" s="6"/>
      <c r="D211" s="36">
        <f>G211-B211</f>
        <v>6807.6799999999985</v>
      </c>
      <c r="E211" s="8" t="s">
        <v>8</v>
      </c>
      <c r="F211" s="8" t="s">
        <v>8</v>
      </c>
      <c r="G211" s="90">
        <f>9289+3683+2500</f>
        <v>15472</v>
      </c>
      <c r="H211" s="91"/>
    </row>
    <row r="212" spans="1:11" ht="15.75" thickBot="1" x14ac:dyDescent="0.3">
      <c r="A212" s="3" t="s">
        <v>23</v>
      </c>
      <c r="B212" s="8" t="s">
        <v>8</v>
      </c>
      <c r="C212" s="12"/>
      <c r="D212" s="8" t="s">
        <v>8</v>
      </c>
      <c r="E212" s="8" t="s">
        <v>8</v>
      </c>
      <c r="F212" s="8" t="s">
        <v>8</v>
      </c>
      <c r="G212" s="94"/>
      <c r="H212" s="95"/>
    </row>
    <row r="213" spans="1:11" ht="15.75" thickBot="1" x14ac:dyDescent="0.3">
      <c r="A213" s="3" t="s">
        <v>24</v>
      </c>
      <c r="B213" s="6"/>
      <c r="C213" s="6"/>
      <c r="D213" s="6"/>
      <c r="E213" s="8" t="s">
        <v>8</v>
      </c>
      <c r="F213" s="8" t="s">
        <v>8</v>
      </c>
      <c r="G213" s="90"/>
      <c r="H213" s="91"/>
    </row>
    <row r="214" spans="1:11" ht="15.75" thickBot="1" x14ac:dyDescent="0.3">
      <c r="A214" s="4" t="s">
        <v>25</v>
      </c>
      <c r="B214" s="6">
        <f>SUM(B198:B213)</f>
        <v>137371.22</v>
      </c>
      <c r="C214" s="6"/>
      <c r="D214" s="6">
        <f>SUM(D198:D213)</f>
        <v>54767.78</v>
      </c>
      <c r="E214" s="6">
        <f>SUM(E198:E213)</f>
        <v>19526</v>
      </c>
      <c r="F214" s="6"/>
      <c r="G214" s="90">
        <f>SUM(G198:H213)</f>
        <v>211665</v>
      </c>
      <c r="H214" s="91"/>
    </row>
    <row r="215" spans="1:11" x14ac:dyDescent="0.25">
      <c r="A215" s="92" t="s">
        <v>26</v>
      </c>
      <c r="B215" s="92"/>
      <c r="C215" s="92"/>
      <c r="D215" s="92"/>
      <c r="E215" s="92"/>
      <c r="F215" s="92"/>
      <c r="G215" s="92"/>
      <c r="H215" s="92"/>
    </row>
    <row r="216" spans="1:11" x14ac:dyDescent="0.25">
      <c r="A216" s="93" t="s">
        <v>27</v>
      </c>
      <c r="B216" s="93"/>
      <c r="C216" s="93"/>
      <c r="D216" s="93"/>
      <c r="E216" s="93"/>
      <c r="F216" s="93"/>
      <c r="G216" s="93"/>
      <c r="H216" s="93"/>
    </row>
    <row r="217" spans="1:11" x14ac:dyDescent="0.25">
      <c r="A217" s="93" t="s">
        <v>28</v>
      </c>
      <c r="B217" s="93"/>
      <c r="C217" s="93"/>
      <c r="D217" s="93"/>
      <c r="E217" s="93"/>
      <c r="F217" s="93"/>
      <c r="G217" s="93"/>
      <c r="H217" s="93"/>
      <c r="K217" s="10">
        <f>G726-G721</f>
        <v>0</v>
      </c>
    </row>
    <row r="218" spans="1:11" x14ac:dyDescent="0.25">
      <c r="B218" s="10" t="s">
        <v>142</v>
      </c>
      <c r="C218" s="10">
        <v>125627</v>
      </c>
      <c r="K218" s="10">
        <f>K217-244898</f>
        <v>-244898</v>
      </c>
    </row>
    <row r="219" spans="1:11" x14ac:dyDescent="0.25">
      <c r="C219" s="10">
        <f>C218-B214</f>
        <v>-11744.220000000001</v>
      </c>
    </row>
    <row r="223" spans="1:11" x14ac:dyDescent="0.25">
      <c r="A223" s="37"/>
      <c r="B223" s="38"/>
      <c r="C223" s="38"/>
      <c r="D223" s="38"/>
      <c r="E223" s="112" t="s">
        <v>29</v>
      </c>
      <c r="F223" s="112"/>
      <c r="G223" s="112"/>
      <c r="H223" s="112"/>
    </row>
    <row r="224" spans="1:11" x14ac:dyDescent="0.25">
      <c r="A224" s="113"/>
      <c r="B224" s="114"/>
      <c r="C224" s="114"/>
      <c r="D224" s="115"/>
      <c r="E224" s="115" t="s">
        <v>0</v>
      </c>
      <c r="F224" s="115"/>
      <c r="G224" s="115"/>
      <c r="H224" s="115"/>
    </row>
    <row r="225" spans="1:9" x14ac:dyDescent="0.25">
      <c r="A225" s="113"/>
      <c r="B225" s="114"/>
      <c r="C225" s="114"/>
      <c r="D225" s="115"/>
      <c r="E225" s="128" t="s">
        <v>31</v>
      </c>
      <c r="F225" s="115"/>
      <c r="G225" s="115"/>
      <c r="H225" s="115"/>
    </row>
    <row r="226" spans="1:9" ht="15.75" thickBot="1" x14ac:dyDescent="0.3">
      <c r="A226" s="98" t="s">
        <v>143</v>
      </c>
      <c r="B226" s="98"/>
      <c r="C226" s="98"/>
      <c r="D226" s="98"/>
      <c r="E226" s="98"/>
      <c r="F226" s="98"/>
      <c r="G226" s="98"/>
      <c r="H226" s="98"/>
    </row>
    <row r="227" spans="1:9" x14ac:dyDescent="0.25">
      <c r="A227" s="100" t="s">
        <v>2</v>
      </c>
      <c r="B227" s="103" t="s">
        <v>30</v>
      </c>
      <c r="C227" s="104"/>
      <c r="D227" s="104"/>
      <c r="E227" s="104"/>
      <c r="F227" s="104"/>
      <c r="G227" s="105" t="s">
        <v>3</v>
      </c>
      <c r="H227" s="106"/>
    </row>
    <row r="228" spans="1:9" ht="135.75" thickBot="1" x14ac:dyDescent="0.3">
      <c r="A228" s="124"/>
      <c r="B228" s="105" t="s">
        <v>30</v>
      </c>
      <c r="C228" s="105"/>
      <c r="D228" s="15" t="s">
        <v>32</v>
      </c>
      <c r="E228" s="105" t="s">
        <v>4</v>
      </c>
      <c r="F228" s="105"/>
      <c r="G228" s="125"/>
      <c r="H228" s="109"/>
    </row>
    <row r="229" spans="1:9" ht="165.75" thickBot="1" x14ac:dyDescent="0.3">
      <c r="A229" s="102"/>
      <c r="B229" s="14" t="s">
        <v>36</v>
      </c>
      <c r="C229" s="35" t="s">
        <v>5</v>
      </c>
      <c r="D229" s="15" t="s">
        <v>33</v>
      </c>
      <c r="E229" s="35" t="s">
        <v>34</v>
      </c>
      <c r="F229" s="7" t="s">
        <v>35</v>
      </c>
      <c r="G229" s="110"/>
      <c r="H229" s="111"/>
    </row>
    <row r="230" spans="1:9" ht="15.75" thickBot="1" x14ac:dyDescent="0.3">
      <c r="A230" s="34">
        <v>1</v>
      </c>
      <c r="B230" s="7">
        <v>2</v>
      </c>
      <c r="C230" s="11">
        <v>3</v>
      </c>
      <c r="D230" s="7">
        <v>4</v>
      </c>
      <c r="E230" s="11">
        <v>5</v>
      </c>
      <c r="F230" s="7">
        <v>6</v>
      </c>
      <c r="G230" s="96" t="s">
        <v>6</v>
      </c>
      <c r="H230" s="97"/>
    </row>
    <row r="231" spans="1:9" ht="60.75" thickBot="1" x14ac:dyDescent="0.3">
      <c r="A231" s="2" t="s">
        <v>7</v>
      </c>
      <c r="B231" s="6">
        <f>B232</f>
        <v>83151.53</v>
      </c>
      <c r="C231" s="12"/>
      <c r="D231" s="6">
        <f>D232</f>
        <v>24837.47</v>
      </c>
      <c r="E231" s="8" t="s">
        <v>8</v>
      </c>
      <c r="F231" s="8" t="s">
        <v>8</v>
      </c>
      <c r="G231" s="90">
        <f>87160+20829</f>
        <v>107989</v>
      </c>
      <c r="H231" s="91"/>
    </row>
    <row r="232" spans="1:9" ht="15.75" thickBot="1" x14ac:dyDescent="0.3">
      <c r="A232" s="3" t="s">
        <v>9</v>
      </c>
      <c r="B232" s="6">
        <f>G232*77%</f>
        <v>83151.53</v>
      </c>
      <c r="C232" s="12"/>
      <c r="D232" s="36">
        <f>G232-B232</f>
        <v>24837.47</v>
      </c>
      <c r="E232" s="8" t="s">
        <v>8</v>
      </c>
      <c r="F232" s="8" t="s">
        <v>8</v>
      </c>
      <c r="G232" s="90">
        <f>G231</f>
        <v>107989</v>
      </c>
      <c r="H232" s="91"/>
    </row>
    <row r="233" spans="1:9" ht="15.75" thickBot="1" x14ac:dyDescent="0.3">
      <c r="A233" s="2" t="s">
        <v>10</v>
      </c>
      <c r="B233" s="6">
        <v>0</v>
      </c>
      <c r="C233" s="12"/>
      <c r="D233" s="6">
        <v>0</v>
      </c>
      <c r="E233" s="8" t="s">
        <v>8</v>
      </c>
      <c r="F233" s="8" t="s">
        <v>8</v>
      </c>
      <c r="G233" s="90">
        <v>0</v>
      </c>
      <c r="H233" s="91"/>
    </row>
    <row r="234" spans="1:9" ht="60.75" thickBot="1" x14ac:dyDescent="0.3">
      <c r="A234" s="2" t="s">
        <v>11</v>
      </c>
      <c r="B234" s="6">
        <f>G234*77%</f>
        <v>41004.81</v>
      </c>
      <c r="C234" s="12"/>
      <c r="D234" s="36">
        <f>G234-B234</f>
        <v>12248.190000000002</v>
      </c>
      <c r="E234" s="8" t="s">
        <v>8</v>
      </c>
      <c r="F234" s="8" t="s">
        <v>8</v>
      </c>
      <c r="G234" s="90">
        <f>44479+8774</f>
        <v>53253</v>
      </c>
      <c r="H234" s="91"/>
    </row>
    <row r="235" spans="1:9" ht="30.75" thickBot="1" x14ac:dyDescent="0.3">
      <c r="A235" s="2" t="s">
        <v>12</v>
      </c>
      <c r="B235" s="6">
        <f>G235*77%</f>
        <v>922.46</v>
      </c>
      <c r="C235" s="12"/>
      <c r="D235" s="36">
        <f>G235-B235</f>
        <v>275.53999999999996</v>
      </c>
      <c r="E235" s="8" t="s">
        <v>8</v>
      </c>
      <c r="F235" s="8" t="s">
        <v>8</v>
      </c>
      <c r="G235" s="90">
        <v>1198</v>
      </c>
      <c r="H235" s="91"/>
      <c r="I235" s="10">
        <f>G232+G234+G235</f>
        <v>162440</v>
      </c>
    </row>
    <row r="236" spans="1:9" ht="15.75" thickBot="1" x14ac:dyDescent="0.3">
      <c r="A236" s="2" t="s">
        <v>13</v>
      </c>
      <c r="B236" s="6">
        <f>G236*56%</f>
        <v>3002.1600000000003</v>
      </c>
      <c r="C236" s="6"/>
      <c r="D236" s="36">
        <f>G236-B236</f>
        <v>2358.8399999999997</v>
      </c>
      <c r="E236" s="8" t="s">
        <v>8</v>
      </c>
      <c r="F236" s="8" t="s">
        <v>8</v>
      </c>
      <c r="G236" s="90">
        <v>5361</v>
      </c>
      <c r="H236" s="91"/>
    </row>
    <row r="237" spans="1:9" ht="30.75" thickBot="1" x14ac:dyDescent="0.3">
      <c r="A237" s="2" t="s">
        <v>14</v>
      </c>
      <c r="B237" s="6">
        <f>G237*56%</f>
        <v>1128.96</v>
      </c>
      <c r="C237" s="6"/>
      <c r="D237" s="36">
        <f>G237-B237</f>
        <v>887.04</v>
      </c>
      <c r="E237" s="8" t="s">
        <v>8</v>
      </c>
      <c r="F237" s="8" t="s">
        <v>8</v>
      </c>
      <c r="G237" s="90">
        <f>1160+856</f>
        <v>2016</v>
      </c>
      <c r="H237" s="91"/>
    </row>
    <row r="238" spans="1:9" ht="45.75" thickBot="1" x14ac:dyDescent="0.3">
      <c r="A238" s="2" t="s">
        <v>15</v>
      </c>
      <c r="B238" s="8" t="s">
        <v>8</v>
      </c>
      <c r="C238" s="8" t="s">
        <v>8</v>
      </c>
      <c r="D238" s="6"/>
      <c r="E238" s="8" t="s">
        <v>8</v>
      </c>
      <c r="F238" s="8" t="s">
        <v>8</v>
      </c>
      <c r="G238" s="90"/>
      <c r="H238" s="91"/>
    </row>
    <row r="239" spans="1:9" ht="15.75" thickBot="1" x14ac:dyDescent="0.3">
      <c r="A239" s="2" t="s">
        <v>16</v>
      </c>
      <c r="B239" s="8" t="s">
        <v>8</v>
      </c>
      <c r="C239" s="8" t="s">
        <v>8</v>
      </c>
      <c r="D239" s="12"/>
      <c r="E239" s="6">
        <v>120</v>
      </c>
      <c r="F239" s="6"/>
      <c r="G239" s="90">
        <v>120</v>
      </c>
      <c r="H239" s="91"/>
    </row>
    <row r="240" spans="1:9" ht="15.75" thickBot="1" x14ac:dyDescent="0.3">
      <c r="A240" s="3" t="s">
        <v>17</v>
      </c>
      <c r="B240" s="6">
        <f>G240*56%</f>
        <v>0</v>
      </c>
      <c r="C240" s="8"/>
      <c r="D240" s="6"/>
      <c r="E240" s="6">
        <f>G240-B240</f>
        <v>0</v>
      </c>
      <c r="F240" s="6"/>
      <c r="G240" s="90">
        <v>0</v>
      </c>
      <c r="H240" s="91"/>
    </row>
    <row r="241" spans="1:11" ht="15.75" thickBot="1" x14ac:dyDescent="0.3">
      <c r="A241" s="3" t="s">
        <v>18</v>
      </c>
      <c r="B241" s="6"/>
      <c r="C241" s="8"/>
      <c r="D241" s="8"/>
      <c r="E241" s="6"/>
      <c r="F241" s="6"/>
      <c r="G241" s="90"/>
      <c r="H241" s="91"/>
    </row>
    <row r="242" spans="1:11" ht="45.75" thickBot="1" x14ac:dyDescent="0.3">
      <c r="A242" s="2" t="s">
        <v>19</v>
      </c>
      <c r="B242" s="6"/>
      <c r="C242" s="8"/>
      <c r="D242" s="6"/>
      <c r="E242" s="6"/>
      <c r="F242" s="6"/>
      <c r="G242" s="94"/>
      <c r="H242" s="95"/>
    </row>
    <row r="243" spans="1:11" ht="30.75" thickBot="1" x14ac:dyDescent="0.3">
      <c r="A243" s="2" t="s">
        <v>20</v>
      </c>
      <c r="B243" s="6"/>
      <c r="C243" s="8"/>
      <c r="D243" s="6"/>
      <c r="E243" s="6">
        <v>22618</v>
      </c>
      <c r="F243" s="6"/>
      <c r="G243" s="90">
        <v>22618</v>
      </c>
      <c r="H243" s="91"/>
    </row>
    <row r="244" spans="1:11" ht="30.75" thickBot="1" x14ac:dyDescent="0.3">
      <c r="A244" s="2" t="s">
        <v>21</v>
      </c>
      <c r="B244" s="6">
        <f>G244*56%</f>
        <v>16478.560000000001</v>
      </c>
      <c r="C244" s="6"/>
      <c r="D244" s="36">
        <f>G244-B244</f>
        <v>12947.439999999999</v>
      </c>
      <c r="E244" s="8" t="s">
        <v>8</v>
      </c>
      <c r="F244" s="8" t="s">
        <v>8</v>
      </c>
      <c r="G244" s="90">
        <f>29430-120+116</f>
        <v>29426</v>
      </c>
      <c r="H244" s="91"/>
      <c r="J244" s="10">
        <f>G243-G209</f>
        <v>3212</v>
      </c>
    </row>
    <row r="245" spans="1:11" ht="15.75" thickBot="1" x14ac:dyDescent="0.3">
      <c r="A245" s="3" t="s">
        <v>22</v>
      </c>
      <c r="B245" s="6">
        <f>G245*56%</f>
        <v>9516.0800000000017</v>
      </c>
      <c r="C245" s="6"/>
      <c r="D245" s="36">
        <f>G245-B245</f>
        <v>7476.9199999999983</v>
      </c>
      <c r="E245" s="8" t="s">
        <v>8</v>
      </c>
      <c r="F245" s="8" t="s">
        <v>8</v>
      </c>
      <c r="G245" s="90">
        <f>10774+3719+2500</f>
        <v>16993</v>
      </c>
      <c r="H245" s="91"/>
      <c r="J245" s="10">
        <f>235763-G248</f>
        <v>-3211</v>
      </c>
    </row>
    <row r="246" spans="1:11" ht="15.75" thickBot="1" x14ac:dyDescent="0.3">
      <c r="A246" s="3" t="s">
        <v>23</v>
      </c>
      <c r="B246" s="8" t="s">
        <v>8</v>
      </c>
      <c r="C246" s="12"/>
      <c r="D246" s="8" t="s">
        <v>8</v>
      </c>
      <c r="E246" s="8" t="s">
        <v>8</v>
      </c>
      <c r="F246" s="8" t="s">
        <v>8</v>
      </c>
      <c r="G246" s="94"/>
      <c r="H246" s="95"/>
    </row>
    <row r="247" spans="1:11" ht="15.75" thickBot="1" x14ac:dyDescent="0.3">
      <c r="A247" s="3" t="s">
        <v>24</v>
      </c>
      <c r="B247" s="6"/>
      <c r="C247" s="6"/>
      <c r="D247" s="6"/>
      <c r="E247" s="8" t="s">
        <v>8</v>
      </c>
      <c r="F247" s="8" t="s">
        <v>8</v>
      </c>
      <c r="G247" s="90"/>
      <c r="H247" s="91"/>
    </row>
    <row r="248" spans="1:11" ht="15.75" thickBot="1" x14ac:dyDescent="0.3">
      <c r="A248" s="4" t="s">
        <v>25</v>
      </c>
      <c r="B248" s="6">
        <f>SUM(B232:B247)</f>
        <v>155204.56</v>
      </c>
      <c r="C248" s="6"/>
      <c r="D248" s="6">
        <f>SUM(D232:D247)</f>
        <v>61031.44</v>
      </c>
      <c r="E248" s="6">
        <f>SUM(E232:E247)</f>
        <v>22738</v>
      </c>
      <c r="F248" s="6"/>
      <c r="G248" s="90">
        <f>SUM(G232:H247)</f>
        <v>238974</v>
      </c>
      <c r="H248" s="91"/>
    </row>
    <row r="249" spans="1:11" x14ac:dyDescent="0.25">
      <c r="A249" s="92" t="s">
        <v>26</v>
      </c>
      <c r="B249" s="92"/>
      <c r="C249" s="92"/>
      <c r="D249" s="92"/>
      <c r="E249" s="92"/>
      <c r="F249" s="92"/>
      <c r="G249" s="92"/>
      <c r="H249" s="92"/>
    </row>
    <row r="250" spans="1:11" x14ac:dyDescent="0.25">
      <c r="A250" s="93" t="s">
        <v>27</v>
      </c>
      <c r="B250" s="93"/>
      <c r="C250" s="93"/>
      <c r="D250" s="93"/>
      <c r="E250" s="93"/>
      <c r="F250" s="93"/>
      <c r="G250" s="93"/>
      <c r="H250" s="93"/>
    </row>
    <row r="251" spans="1:11" x14ac:dyDescent="0.25">
      <c r="A251" s="93" t="s">
        <v>28</v>
      </c>
      <c r="B251" s="93"/>
      <c r="C251" s="93"/>
      <c r="D251" s="93"/>
      <c r="E251" s="93"/>
      <c r="F251" s="93"/>
      <c r="G251" s="93"/>
      <c r="H251" s="93"/>
      <c r="K251" s="10">
        <f>G760-G755</f>
        <v>0</v>
      </c>
    </row>
    <row r="252" spans="1:11" x14ac:dyDescent="0.25">
      <c r="B252" s="10" t="s">
        <v>144</v>
      </c>
      <c r="C252" s="10">
        <v>146427</v>
      </c>
      <c r="K252" s="10">
        <f>K251-244898</f>
        <v>-244898</v>
      </c>
    </row>
    <row r="253" spans="1:11" x14ac:dyDescent="0.25">
      <c r="C253" s="10">
        <f>C252-B248</f>
        <v>-8777.5599999999977</v>
      </c>
    </row>
    <row r="257" spans="1:9" x14ac:dyDescent="0.25">
      <c r="A257" s="37"/>
      <c r="B257" s="38"/>
      <c r="C257" s="38"/>
      <c r="D257" s="38"/>
      <c r="E257" s="112" t="s">
        <v>29</v>
      </c>
      <c r="F257" s="112"/>
      <c r="G257" s="112"/>
      <c r="H257" s="112"/>
    </row>
    <row r="258" spans="1:9" x14ac:dyDescent="0.25">
      <c r="A258" s="113"/>
      <c r="B258" s="114"/>
      <c r="C258" s="114"/>
      <c r="D258" s="115"/>
      <c r="E258" s="115" t="s">
        <v>0</v>
      </c>
      <c r="F258" s="115"/>
      <c r="G258" s="115"/>
      <c r="H258" s="115"/>
    </row>
    <row r="259" spans="1:9" x14ac:dyDescent="0.25">
      <c r="A259" s="113"/>
      <c r="B259" s="114"/>
      <c r="C259" s="114"/>
      <c r="D259" s="115"/>
      <c r="E259" s="128" t="s">
        <v>31</v>
      </c>
      <c r="F259" s="115"/>
      <c r="G259" s="115"/>
      <c r="H259" s="115"/>
    </row>
    <row r="260" spans="1:9" ht="15.75" thickBot="1" x14ac:dyDescent="0.3">
      <c r="A260" s="98" t="s">
        <v>145</v>
      </c>
      <c r="B260" s="98"/>
      <c r="C260" s="98"/>
      <c r="D260" s="98"/>
      <c r="E260" s="98"/>
      <c r="F260" s="98"/>
      <c r="G260" s="98"/>
      <c r="H260" s="98"/>
    </row>
    <row r="261" spans="1:9" x14ac:dyDescent="0.25">
      <c r="A261" s="100" t="s">
        <v>2</v>
      </c>
      <c r="B261" s="103" t="s">
        <v>30</v>
      </c>
      <c r="C261" s="104"/>
      <c r="D261" s="104"/>
      <c r="E261" s="104"/>
      <c r="F261" s="104"/>
      <c r="G261" s="105" t="s">
        <v>3</v>
      </c>
      <c r="H261" s="106"/>
    </row>
    <row r="262" spans="1:9" ht="135.75" thickBot="1" x14ac:dyDescent="0.3">
      <c r="A262" s="124"/>
      <c r="B262" s="105" t="s">
        <v>30</v>
      </c>
      <c r="C262" s="105"/>
      <c r="D262" s="15" t="s">
        <v>32</v>
      </c>
      <c r="E262" s="105" t="s">
        <v>4</v>
      </c>
      <c r="F262" s="105"/>
      <c r="G262" s="125"/>
      <c r="H262" s="109"/>
    </row>
    <row r="263" spans="1:9" ht="165.75" thickBot="1" x14ac:dyDescent="0.3">
      <c r="A263" s="102"/>
      <c r="B263" s="14" t="s">
        <v>36</v>
      </c>
      <c r="C263" s="35" t="s">
        <v>5</v>
      </c>
      <c r="D263" s="15" t="s">
        <v>33</v>
      </c>
      <c r="E263" s="35" t="s">
        <v>34</v>
      </c>
      <c r="F263" s="7" t="s">
        <v>35</v>
      </c>
      <c r="G263" s="110"/>
      <c r="H263" s="111"/>
    </row>
    <row r="264" spans="1:9" ht="15.75" thickBot="1" x14ac:dyDescent="0.3">
      <c r="A264" s="34">
        <v>1</v>
      </c>
      <c r="B264" s="7">
        <v>2</v>
      </c>
      <c r="C264" s="11">
        <v>3</v>
      </c>
      <c r="D264" s="7">
        <v>4</v>
      </c>
      <c r="E264" s="11">
        <v>5</v>
      </c>
      <c r="F264" s="7">
        <v>6</v>
      </c>
      <c r="G264" s="96" t="s">
        <v>6</v>
      </c>
      <c r="H264" s="97"/>
    </row>
    <row r="265" spans="1:9" ht="60.75" thickBot="1" x14ac:dyDescent="0.3">
      <c r="A265" s="2" t="s">
        <v>7</v>
      </c>
      <c r="B265" s="6">
        <f>B266</f>
        <v>91623.07</v>
      </c>
      <c r="C265" s="12"/>
      <c r="D265" s="6">
        <f>D266</f>
        <v>27367.929999999993</v>
      </c>
      <c r="E265" s="8" t="s">
        <v>8</v>
      </c>
      <c r="F265" s="8" t="s">
        <v>8</v>
      </c>
      <c r="G265" s="90">
        <f>96022+22969</f>
        <v>118991</v>
      </c>
      <c r="H265" s="91"/>
    </row>
    <row r="266" spans="1:9" ht="15.75" thickBot="1" x14ac:dyDescent="0.3">
      <c r="A266" s="3" t="s">
        <v>9</v>
      </c>
      <c r="B266" s="6">
        <f>G266*77%</f>
        <v>91623.07</v>
      </c>
      <c r="C266" s="12"/>
      <c r="D266" s="36">
        <f>G266-B266</f>
        <v>27367.929999999993</v>
      </c>
      <c r="E266" s="8" t="s">
        <v>8</v>
      </c>
      <c r="F266" s="8" t="s">
        <v>8</v>
      </c>
      <c r="G266" s="90">
        <f>G265</f>
        <v>118991</v>
      </c>
      <c r="H266" s="91"/>
    </row>
    <row r="267" spans="1:9" ht="15.75" thickBot="1" x14ac:dyDescent="0.3">
      <c r="A267" s="2" t="s">
        <v>10</v>
      </c>
      <c r="B267" s="6">
        <v>0</v>
      </c>
      <c r="C267" s="12"/>
      <c r="D267" s="6">
        <v>0</v>
      </c>
      <c r="E267" s="8" t="s">
        <v>8</v>
      </c>
      <c r="F267" s="8" t="s">
        <v>8</v>
      </c>
      <c r="G267" s="90">
        <v>0</v>
      </c>
      <c r="H267" s="91"/>
    </row>
    <row r="268" spans="1:9" ht="60.75" thickBot="1" x14ac:dyDescent="0.3">
      <c r="A268" s="2" t="s">
        <v>11</v>
      </c>
      <c r="B268" s="6">
        <f>G268*77%</f>
        <v>46755.94</v>
      </c>
      <c r="C268" s="12"/>
      <c r="D268" s="36">
        <f>G268-B268</f>
        <v>13966.059999999998</v>
      </c>
      <c r="E268" s="8" t="s">
        <v>8</v>
      </c>
      <c r="F268" s="8" t="s">
        <v>8</v>
      </c>
      <c r="G268" s="90">
        <f>50753+9969</f>
        <v>60722</v>
      </c>
      <c r="H268" s="91"/>
    </row>
    <row r="269" spans="1:9" ht="30.75" thickBot="1" x14ac:dyDescent="0.3">
      <c r="A269" s="2" t="s">
        <v>12</v>
      </c>
      <c r="B269" s="6">
        <f>G269*77%</f>
        <v>944.79000000000008</v>
      </c>
      <c r="C269" s="12"/>
      <c r="D269" s="36">
        <f>G269-B269</f>
        <v>282.20999999999992</v>
      </c>
      <c r="E269" s="8" t="s">
        <v>8</v>
      </c>
      <c r="F269" s="8" t="s">
        <v>8</v>
      </c>
      <c r="G269" s="90">
        <v>1227</v>
      </c>
      <c r="H269" s="91"/>
      <c r="I269" s="10">
        <f>G266+G268+G269</f>
        <v>180940</v>
      </c>
    </row>
    <row r="270" spans="1:9" ht="15.75" thickBot="1" x14ac:dyDescent="0.3">
      <c r="A270" s="2" t="s">
        <v>13</v>
      </c>
      <c r="B270" s="6">
        <f>G270*56%</f>
        <v>3002.1600000000003</v>
      </c>
      <c r="C270" s="6"/>
      <c r="D270" s="36">
        <f>G270-B270</f>
        <v>2358.8399999999997</v>
      </c>
      <c r="E270" s="8" t="s">
        <v>8</v>
      </c>
      <c r="F270" s="8" t="s">
        <v>8</v>
      </c>
      <c r="G270" s="90">
        <v>5361</v>
      </c>
      <c r="H270" s="91"/>
    </row>
    <row r="271" spans="1:9" ht="30.75" thickBot="1" x14ac:dyDescent="0.3">
      <c r="A271" s="2" t="s">
        <v>14</v>
      </c>
      <c r="B271" s="6">
        <f>G271*56%</f>
        <v>1890.0000000000002</v>
      </c>
      <c r="C271" s="6"/>
      <c r="D271" s="36">
        <f>G271-B271</f>
        <v>1484.9999999999998</v>
      </c>
      <c r="E271" s="8" t="s">
        <v>8</v>
      </c>
      <c r="F271" s="8" t="s">
        <v>8</v>
      </c>
      <c r="G271" s="90">
        <f>1200+2175</f>
        <v>3375</v>
      </c>
      <c r="H271" s="91"/>
    </row>
    <row r="272" spans="1:9" ht="45.75" thickBot="1" x14ac:dyDescent="0.3">
      <c r="A272" s="2" t="s">
        <v>15</v>
      </c>
      <c r="B272" s="8" t="s">
        <v>8</v>
      </c>
      <c r="C272" s="8" t="s">
        <v>8</v>
      </c>
      <c r="D272" s="6"/>
      <c r="E272" s="8" t="s">
        <v>8</v>
      </c>
      <c r="F272" s="8" t="s">
        <v>8</v>
      </c>
      <c r="G272" s="90"/>
      <c r="H272" s="91"/>
    </row>
    <row r="273" spans="1:11" ht="15.75" thickBot="1" x14ac:dyDescent="0.3">
      <c r="A273" s="2" t="s">
        <v>16</v>
      </c>
      <c r="B273" s="8" t="s">
        <v>8</v>
      </c>
      <c r="C273" s="8" t="s">
        <v>8</v>
      </c>
      <c r="D273" s="12"/>
      <c r="E273" s="6">
        <v>120</v>
      </c>
      <c r="F273" s="6"/>
      <c r="G273" s="90">
        <v>120</v>
      </c>
      <c r="H273" s="91"/>
    </row>
    <row r="274" spans="1:11" ht="15.75" thickBot="1" x14ac:dyDescent="0.3">
      <c r="A274" s="3" t="s">
        <v>17</v>
      </c>
      <c r="B274" s="6">
        <f>G274*56%</f>
        <v>0</v>
      </c>
      <c r="C274" s="8"/>
      <c r="D274" s="6"/>
      <c r="E274" s="6">
        <f>G274-B274</f>
        <v>0</v>
      </c>
      <c r="F274" s="6"/>
      <c r="G274" s="90">
        <v>0</v>
      </c>
      <c r="H274" s="91"/>
    </row>
    <row r="275" spans="1:11" ht="15.75" thickBot="1" x14ac:dyDescent="0.3">
      <c r="A275" s="3" t="s">
        <v>18</v>
      </c>
      <c r="B275" s="6"/>
      <c r="C275" s="8"/>
      <c r="D275" s="8"/>
      <c r="E275" s="6"/>
      <c r="F275" s="6"/>
      <c r="G275" s="90"/>
      <c r="H275" s="91"/>
    </row>
    <row r="276" spans="1:11" ht="45.75" thickBot="1" x14ac:dyDescent="0.3">
      <c r="A276" s="2" t="s">
        <v>19</v>
      </c>
      <c r="B276" s="6"/>
      <c r="C276" s="8"/>
      <c r="D276" s="6"/>
      <c r="E276" s="6"/>
      <c r="F276" s="6"/>
      <c r="G276" s="94"/>
      <c r="H276" s="95"/>
      <c r="J276" s="10">
        <f>G270+G271+G273+G278+G279+I269+G277</f>
        <v>265789</v>
      </c>
    </row>
    <row r="277" spans="1:11" ht="30.75" thickBot="1" x14ac:dyDescent="0.3">
      <c r="A277" s="2" t="s">
        <v>20</v>
      </c>
      <c r="B277" s="6"/>
      <c r="C277" s="8"/>
      <c r="D277" s="6"/>
      <c r="E277" s="6">
        <v>25830</v>
      </c>
      <c r="F277" s="6"/>
      <c r="G277" s="90">
        <v>25830</v>
      </c>
      <c r="H277" s="91"/>
    </row>
    <row r="278" spans="1:11" ht="30.75" thickBot="1" x14ac:dyDescent="0.3">
      <c r="A278" s="2" t="s">
        <v>21</v>
      </c>
      <c r="B278" s="6">
        <f>G278*56%</f>
        <v>17705.52</v>
      </c>
      <c r="C278" s="6"/>
      <c r="D278" s="36">
        <f>G278-B278</f>
        <v>13911.48</v>
      </c>
      <c r="E278" s="8" t="s">
        <v>8</v>
      </c>
      <c r="F278" s="8" t="s">
        <v>8</v>
      </c>
      <c r="G278" s="90">
        <f>31621-120+116</f>
        <v>31617</v>
      </c>
      <c r="H278" s="91"/>
      <c r="J278" s="10">
        <f>G277-G209</f>
        <v>6424</v>
      </c>
    </row>
    <row r="279" spans="1:11" ht="15.75" thickBot="1" x14ac:dyDescent="0.3">
      <c r="A279" s="3" t="s">
        <v>22</v>
      </c>
      <c r="B279" s="6">
        <f>G279*56%</f>
        <v>10385.76</v>
      </c>
      <c r="C279" s="6"/>
      <c r="D279" s="36">
        <f>G279-B279</f>
        <v>8160.24</v>
      </c>
      <c r="E279" s="8" t="s">
        <v>8</v>
      </c>
      <c r="F279" s="8" t="s">
        <v>8</v>
      </c>
      <c r="G279" s="90">
        <f>12302+3744+2500</f>
        <v>18546</v>
      </c>
      <c r="H279" s="91"/>
      <c r="J279" s="10">
        <f>259365-G282</f>
        <v>-6424</v>
      </c>
    </row>
    <row r="280" spans="1:11" ht="15.75" thickBot="1" x14ac:dyDescent="0.3">
      <c r="A280" s="3" t="s">
        <v>23</v>
      </c>
      <c r="B280" s="8" t="s">
        <v>8</v>
      </c>
      <c r="C280" s="12"/>
      <c r="D280" s="8" t="s">
        <v>8</v>
      </c>
      <c r="E280" s="8" t="s">
        <v>8</v>
      </c>
      <c r="F280" s="8" t="s">
        <v>8</v>
      </c>
      <c r="G280" s="94"/>
      <c r="H280" s="95"/>
    </row>
    <row r="281" spans="1:11" ht="15.75" thickBot="1" x14ac:dyDescent="0.3">
      <c r="A281" s="3" t="s">
        <v>24</v>
      </c>
      <c r="B281" s="6"/>
      <c r="C281" s="6"/>
      <c r="D281" s="6"/>
      <c r="E281" s="8" t="s">
        <v>8</v>
      </c>
      <c r="F281" s="8" t="s">
        <v>8</v>
      </c>
      <c r="G281" s="90"/>
      <c r="H281" s="91"/>
    </row>
    <row r="282" spans="1:11" ht="15.75" thickBot="1" x14ac:dyDescent="0.3">
      <c r="A282" s="4" t="s">
        <v>25</v>
      </c>
      <c r="B282" s="6">
        <f>SUM(B266:B281)</f>
        <v>172307.24000000002</v>
      </c>
      <c r="C282" s="6"/>
      <c r="D282" s="6">
        <f>SUM(D266:D281)</f>
        <v>67531.759999999995</v>
      </c>
      <c r="E282" s="6">
        <f>SUM(E266:E281)</f>
        <v>25950</v>
      </c>
      <c r="F282" s="6"/>
      <c r="G282" s="90">
        <f>SUM(G266:H281)</f>
        <v>265789</v>
      </c>
      <c r="H282" s="91"/>
    </row>
    <row r="283" spans="1:11" x14ac:dyDescent="0.25">
      <c r="A283" s="92" t="s">
        <v>26</v>
      </c>
      <c r="B283" s="92"/>
      <c r="C283" s="92"/>
      <c r="D283" s="92"/>
      <c r="E283" s="92"/>
      <c r="F283" s="92"/>
      <c r="G283" s="92"/>
      <c r="H283" s="92"/>
    </row>
    <row r="284" spans="1:11" x14ac:dyDescent="0.25">
      <c r="A284" s="93" t="s">
        <v>27</v>
      </c>
      <c r="B284" s="93"/>
      <c r="C284" s="93"/>
      <c r="D284" s="93"/>
      <c r="E284" s="93"/>
      <c r="F284" s="93"/>
      <c r="G284" s="93"/>
      <c r="H284" s="93"/>
    </row>
    <row r="285" spans="1:11" x14ac:dyDescent="0.25">
      <c r="A285" s="93" t="s">
        <v>28</v>
      </c>
      <c r="B285" s="93"/>
      <c r="C285" s="93"/>
      <c r="D285" s="93"/>
      <c r="E285" s="93"/>
      <c r="F285" s="93"/>
      <c r="G285" s="93"/>
      <c r="H285" s="93"/>
      <c r="K285" s="10">
        <f>G794-G789</f>
        <v>0</v>
      </c>
    </row>
    <row r="286" spans="1:11" x14ac:dyDescent="0.25">
      <c r="B286" s="10" t="s">
        <v>146</v>
      </c>
      <c r="C286" s="10">
        <v>210649</v>
      </c>
      <c r="K286" s="10">
        <f>K285-244898</f>
        <v>-244898</v>
      </c>
    </row>
    <row r="287" spans="1:11" x14ac:dyDescent="0.25">
      <c r="C287" s="10">
        <f>C286-B282</f>
        <v>38341.75999999998</v>
      </c>
    </row>
    <row r="290" spans="1:9" x14ac:dyDescent="0.25">
      <c r="A290" s="37"/>
      <c r="B290" s="38"/>
      <c r="C290" s="38"/>
      <c r="D290" s="38"/>
      <c r="E290" s="112" t="s">
        <v>29</v>
      </c>
      <c r="F290" s="112"/>
      <c r="G290" s="112"/>
      <c r="H290" s="112"/>
    </row>
    <row r="291" spans="1:9" x14ac:dyDescent="0.25">
      <c r="A291" s="113"/>
      <c r="B291" s="114"/>
      <c r="C291" s="114"/>
      <c r="D291" s="115"/>
      <c r="E291" s="115" t="s">
        <v>0</v>
      </c>
      <c r="F291" s="115"/>
      <c r="G291" s="115"/>
      <c r="H291" s="115"/>
    </row>
    <row r="292" spans="1:9" x14ac:dyDescent="0.25">
      <c r="A292" s="113"/>
      <c r="B292" s="114"/>
      <c r="C292" s="114"/>
      <c r="D292" s="115"/>
      <c r="E292" s="128" t="s">
        <v>31</v>
      </c>
      <c r="F292" s="115"/>
      <c r="G292" s="115"/>
      <c r="H292" s="115"/>
    </row>
    <row r="293" spans="1:9" ht="15.75" thickBot="1" x14ac:dyDescent="0.3">
      <c r="A293" s="98" t="s">
        <v>147</v>
      </c>
      <c r="B293" s="98"/>
      <c r="C293" s="98"/>
      <c r="D293" s="98"/>
      <c r="E293" s="98"/>
      <c r="F293" s="98"/>
      <c r="G293" s="98"/>
      <c r="H293" s="98"/>
    </row>
    <row r="294" spans="1:9" x14ac:dyDescent="0.25">
      <c r="A294" s="100" t="s">
        <v>2</v>
      </c>
      <c r="B294" s="103" t="s">
        <v>30</v>
      </c>
      <c r="C294" s="104"/>
      <c r="D294" s="104"/>
      <c r="E294" s="104"/>
      <c r="F294" s="104"/>
      <c r="G294" s="105" t="s">
        <v>3</v>
      </c>
      <c r="H294" s="106"/>
    </row>
    <row r="295" spans="1:9" ht="135.75" thickBot="1" x14ac:dyDescent="0.3">
      <c r="A295" s="124"/>
      <c r="B295" s="105" t="s">
        <v>30</v>
      </c>
      <c r="C295" s="105"/>
      <c r="D295" s="15" t="s">
        <v>32</v>
      </c>
      <c r="E295" s="105" t="s">
        <v>4</v>
      </c>
      <c r="F295" s="105"/>
      <c r="G295" s="125"/>
      <c r="H295" s="109"/>
    </row>
    <row r="296" spans="1:9" ht="165.75" thickBot="1" x14ac:dyDescent="0.3">
      <c r="A296" s="102"/>
      <c r="B296" s="14" t="s">
        <v>36</v>
      </c>
      <c r="C296" s="35" t="s">
        <v>5</v>
      </c>
      <c r="D296" s="15" t="s">
        <v>33</v>
      </c>
      <c r="E296" s="35" t="s">
        <v>34</v>
      </c>
      <c r="F296" s="7" t="s">
        <v>35</v>
      </c>
      <c r="G296" s="110"/>
      <c r="H296" s="111"/>
    </row>
    <row r="297" spans="1:9" ht="15.75" thickBot="1" x14ac:dyDescent="0.3">
      <c r="A297" s="34">
        <v>1</v>
      </c>
      <c r="B297" s="7">
        <v>2</v>
      </c>
      <c r="C297" s="11">
        <v>3</v>
      </c>
      <c r="D297" s="7">
        <v>4</v>
      </c>
      <c r="E297" s="11">
        <v>5</v>
      </c>
      <c r="F297" s="7">
        <v>6</v>
      </c>
      <c r="G297" s="96" t="s">
        <v>6</v>
      </c>
      <c r="H297" s="97"/>
    </row>
    <row r="298" spans="1:9" ht="60.75" thickBot="1" x14ac:dyDescent="0.3">
      <c r="A298" s="2" t="s">
        <v>7</v>
      </c>
      <c r="B298" s="6">
        <f>B299</f>
        <v>105567</v>
      </c>
      <c r="C298" s="12"/>
      <c r="D298" s="6">
        <f>D299</f>
        <v>31533</v>
      </c>
      <c r="E298" s="8" t="s">
        <v>8</v>
      </c>
      <c r="F298" s="8" t="s">
        <v>8</v>
      </c>
      <c r="G298" s="90">
        <f>110687+26413</f>
        <v>137100</v>
      </c>
      <c r="H298" s="91"/>
    </row>
    <row r="299" spans="1:9" ht="15.75" thickBot="1" x14ac:dyDescent="0.3">
      <c r="A299" s="3" t="s">
        <v>9</v>
      </c>
      <c r="B299" s="6">
        <f>G299*77%</f>
        <v>105567</v>
      </c>
      <c r="C299" s="12"/>
      <c r="D299" s="36">
        <f>G299-B299</f>
        <v>31533</v>
      </c>
      <c r="E299" s="8" t="s">
        <v>8</v>
      </c>
      <c r="F299" s="8" t="s">
        <v>8</v>
      </c>
      <c r="G299" s="90">
        <f>G298</f>
        <v>137100</v>
      </c>
      <c r="H299" s="91"/>
    </row>
    <row r="300" spans="1:9" ht="15.75" thickBot="1" x14ac:dyDescent="0.3">
      <c r="A300" s="2" t="s">
        <v>10</v>
      </c>
      <c r="B300" s="6">
        <v>0</v>
      </c>
      <c r="C300" s="12"/>
      <c r="D300" s="6">
        <v>0</v>
      </c>
      <c r="E300" s="8" t="s">
        <v>8</v>
      </c>
      <c r="F300" s="8" t="s">
        <v>8</v>
      </c>
      <c r="G300" s="90">
        <v>0</v>
      </c>
      <c r="H300" s="91"/>
    </row>
    <row r="301" spans="1:9" ht="60.75" thickBot="1" x14ac:dyDescent="0.3">
      <c r="A301" s="2" t="s">
        <v>11</v>
      </c>
      <c r="B301" s="6">
        <f>G301*77%</f>
        <v>53571.21</v>
      </c>
      <c r="C301" s="12"/>
      <c r="D301" s="36">
        <f>G301-B301</f>
        <v>16001.79</v>
      </c>
      <c r="E301" s="8" t="s">
        <v>8</v>
      </c>
      <c r="F301" s="8" t="s">
        <v>8</v>
      </c>
      <c r="G301" s="90">
        <f>58181+11392</f>
        <v>69573</v>
      </c>
      <c r="H301" s="91"/>
    </row>
    <row r="302" spans="1:9" ht="30.75" thickBot="1" x14ac:dyDescent="0.3">
      <c r="A302" s="2" t="s">
        <v>12</v>
      </c>
      <c r="B302" s="6">
        <f>G302*77%</f>
        <v>1095.71</v>
      </c>
      <c r="C302" s="12"/>
      <c r="D302" s="36">
        <f>G302-B302</f>
        <v>327.28999999999996</v>
      </c>
      <c r="E302" s="8" t="s">
        <v>8</v>
      </c>
      <c r="F302" s="8" t="s">
        <v>8</v>
      </c>
      <c r="G302" s="90">
        <v>1423</v>
      </c>
      <c r="H302" s="91"/>
      <c r="I302" s="10">
        <f>G299+G301+G302</f>
        <v>208096</v>
      </c>
    </row>
    <row r="303" spans="1:9" ht="15.75" thickBot="1" x14ac:dyDescent="0.3">
      <c r="A303" s="2" t="s">
        <v>13</v>
      </c>
      <c r="B303" s="6">
        <f>G303*56%</f>
        <v>3002.1600000000003</v>
      </c>
      <c r="C303" s="6"/>
      <c r="D303" s="36">
        <f>G303-B303</f>
        <v>2358.8399999999997</v>
      </c>
      <c r="E303" s="8" t="s">
        <v>8</v>
      </c>
      <c r="F303" s="8" t="s">
        <v>8</v>
      </c>
      <c r="G303" s="90">
        <v>5361</v>
      </c>
      <c r="H303" s="91"/>
    </row>
    <row r="304" spans="1:9" ht="30.75" thickBot="1" x14ac:dyDescent="0.3">
      <c r="A304" s="2" t="s">
        <v>14</v>
      </c>
      <c r="B304" s="6">
        <f>G304*56%</f>
        <v>6009.3600000000006</v>
      </c>
      <c r="C304" s="6"/>
      <c r="D304" s="36">
        <f>G304-B304</f>
        <v>4721.6399999999994</v>
      </c>
      <c r="E304" s="8" t="s">
        <v>8</v>
      </c>
      <c r="F304" s="8" t="s">
        <v>8</v>
      </c>
      <c r="G304" s="90">
        <f>1479+9252</f>
        <v>10731</v>
      </c>
      <c r="H304" s="91"/>
    </row>
    <row r="305" spans="1:11" ht="45.75" thickBot="1" x14ac:dyDescent="0.3">
      <c r="A305" s="2" t="s">
        <v>15</v>
      </c>
      <c r="B305" s="8" t="s">
        <v>8</v>
      </c>
      <c r="C305" s="8" t="s">
        <v>8</v>
      </c>
      <c r="D305" s="6"/>
      <c r="E305" s="8" t="s">
        <v>8</v>
      </c>
      <c r="F305" s="8" t="s">
        <v>8</v>
      </c>
      <c r="G305" s="90"/>
      <c r="H305" s="91"/>
    </row>
    <row r="306" spans="1:11" ht="15.75" thickBot="1" x14ac:dyDescent="0.3">
      <c r="A306" s="2" t="s">
        <v>16</v>
      </c>
      <c r="B306" s="8" t="s">
        <v>8</v>
      </c>
      <c r="C306" s="8" t="s">
        <v>8</v>
      </c>
      <c r="D306" s="12"/>
      <c r="E306" s="6">
        <v>120</v>
      </c>
      <c r="F306" s="6"/>
      <c r="G306" s="90">
        <v>120</v>
      </c>
      <c r="H306" s="91"/>
    </row>
    <row r="307" spans="1:11" ht="15.75" thickBot="1" x14ac:dyDescent="0.3">
      <c r="A307" s="3" t="s">
        <v>17</v>
      </c>
      <c r="B307" s="6">
        <f>G307*56%</f>
        <v>0</v>
      </c>
      <c r="C307" s="8"/>
      <c r="D307" s="6"/>
      <c r="E307" s="6">
        <f>G307-B307</f>
        <v>0</v>
      </c>
      <c r="F307" s="6"/>
      <c r="G307" s="90">
        <v>0</v>
      </c>
      <c r="H307" s="91"/>
    </row>
    <row r="308" spans="1:11" ht="15.75" thickBot="1" x14ac:dyDescent="0.3">
      <c r="A308" s="3" t="s">
        <v>18</v>
      </c>
      <c r="B308" s="6"/>
      <c r="C308" s="8"/>
      <c r="D308" s="8"/>
      <c r="E308" s="6"/>
      <c r="F308" s="6"/>
      <c r="G308" s="90"/>
      <c r="H308" s="91"/>
    </row>
    <row r="309" spans="1:11" ht="45.75" thickBot="1" x14ac:dyDescent="0.3">
      <c r="A309" s="2" t="s">
        <v>19</v>
      </c>
      <c r="B309" s="6"/>
      <c r="C309" s="8"/>
      <c r="D309" s="6"/>
      <c r="E309" s="6"/>
      <c r="F309" s="6"/>
      <c r="G309" s="94"/>
      <c r="H309" s="95"/>
      <c r="J309" s="10">
        <f>G303+G304+G306+G311+G312+I302+G310</f>
        <v>330284</v>
      </c>
    </row>
    <row r="310" spans="1:11" ht="30.75" thickBot="1" x14ac:dyDescent="0.3">
      <c r="A310" s="2" t="s">
        <v>20</v>
      </c>
      <c r="B310" s="6"/>
      <c r="C310" s="8"/>
      <c r="D310" s="6"/>
      <c r="E310" s="6">
        <v>25830</v>
      </c>
      <c r="F310" s="6"/>
      <c r="G310" s="90">
        <v>29042</v>
      </c>
      <c r="H310" s="91"/>
    </row>
    <row r="311" spans="1:11" ht="30.75" thickBot="1" x14ac:dyDescent="0.3">
      <c r="A311" s="2" t="s">
        <v>21</v>
      </c>
      <c r="B311" s="6">
        <f>G311*56%</f>
        <v>26956.720000000001</v>
      </c>
      <c r="C311" s="6"/>
      <c r="D311" s="36">
        <f>G311-B311</f>
        <v>21180.28</v>
      </c>
      <c r="E311" s="8" t="s">
        <v>8</v>
      </c>
      <c r="F311" s="8" t="s">
        <v>8</v>
      </c>
      <c r="G311" s="90">
        <f>47941-120+142+174</f>
        <v>48137</v>
      </c>
      <c r="H311" s="91"/>
      <c r="J311" s="10">
        <f>G310-19406</f>
        <v>9636</v>
      </c>
    </row>
    <row r="312" spans="1:11" ht="15.75" thickBot="1" x14ac:dyDescent="0.3">
      <c r="A312" s="3" t="s">
        <v>22</v>
      </c>
      <c r="B312" s="6">
        <f>G312*56%</f>
        <v>16126.320000000002</v>
      </c>
      <c r="C312" s="6"/>
      <c r="D312" s="36">
        <f>G312-B312</f>
        <v>12670.679999999998</v>
      </c>
      <c r="E312" s="8" t="s">
        <v>8</v>
      </c>
      <c r="F312" s="8" t="s">
        <v>8</v>
      </c>
      <c r="G312" s="90">
        <f>13817+3783+11197</f>
        <v>28797</v>
      </c>
      <c r="H312" s="91"/>
      <c r="J312" s="10">
        <f>320648-G315</f>
        <v>-9636</v>
      </c>
    </row>
    <row r="313" spans="1:11" ht="15.75" thickBot="1" x14ac:dyDescent="0.3">
      <c r="A313" s="3" t="s">
        <v>23</v>
      </c>
      <c r="B313" s="8" t="s">
        <v>8</v>
      </c>
      <c r="C313" s="12"/>
      <c r="D313" s="8" t="s">
        <v>8</v>
      </c>
      <c r="E313" s="8" t="s">
        <v>8</v>
      </c>
      <c r="F313" s="8" t="s">
        <v>8</v>
      </c>
      <c r="G313" s="94"/>
      <c r="H313" s="95"/>
    </row>
    <row r="314" spans="1:11" ht="15.75" thickBot="1" x14ac:dyDescent="0.3">
      <c r="A314" s="3" t="s">
        <v>24</v>
      </c>
      <c r="B314" s="6"/>
      <c r="C314" s="6"/>
      <c r="D314" s="6"/>
      <c r="E314" s="8" t="s">
        <v>8</v>
      </c>
      <c r="F314" s="8" t="s">
        <v>8</v>
      </c>
      <c r="G314" s="90"/>
      <c r="H314" s="91"/>
    </row>
    <row r="315" spans="1:11" ht="15.75" thickBot="1" x14ac:dyDescent="0.3">
      <c r="A315" s="4" t="s">
        <v>25</v>
      </c>
      <c r="B315" s="6">
        <f>SUM(B299:B314)</f>
        <v>212328.48</v>
      </c>
      <c r="C315" s="6"/>
      <c r="D315" s="6">
        <f>SUM(D299:D314)</f>
        <v>88793.51999999999</v>
      </c>
      <c r="E315" s="6">
        <f>SUM(E299:E314)</f>
        <v>25950</v>
      </c>
      <c r="F315" s="6"/>
      <c r="G315" s="90">
        <f>SUM(G299:H314)</f>
        <v>330284</v>
      </c>
      <c r="H315" s="91"/>
    </row>
    <row r="316" spans="1:11" x14ac:dyDescent="0.25">
      <c r="A316" s="92" t="s">
        <v>26</v>
      </c>
      <c r="B316" s="92"/>
      <c r="C316" s="92"/>
      <c r="D316" s="92"/>
      <c r="E316" s="92"/>
      <c r="F316" s="92"/>
      <c r="G316" s="92"/>
      <c r="H316" s="92"/>
    </row>
    <row r="317" spans="1:11" x14ac:dyDescent="0.25">
      <c r="A317" s="93" t="s">
        <v>27</v>
      </c>
      <c r="B317" s="93"/>
      <c r="C317" s="93"/>
      <c r="D317" s="93"/>
      <c r="E317" s="93"/>
      <c r="F317" s="93"/>
      <c r="G317" s="93"/>
      <c r="H317" s="93"/>
    </row>
    <row r="318" spans="1:11" x14ac:dyDescent="0.25">
      <c r="A318" s="93" t="s">
        <v>28</v>
      </c>
      <c r="B318" s="93"/>
      <c r="C318" s="93"/>
      <c r="D318" s="93"/>
      <c r="E318" s="93"/>
      <c r="F318" s="93"/>
      <c r="G318" s="93"/>
      <c r="H318" s="93"/>
      <c r="K318" s="10">
        <f>G827-G822</f>
        <v>0</v>
      </c>
    </row>
    <row r="319" spans="1:11" x14ac:dyDescent="0.25">
      <c r="B319" s="10" t="s">
        <v>148</v>
      </c>
      <c r="C319" s="10">
        <v>241439</v>
      </c>
      <c r="K319" s="10">
        <f>K318-244898</f>
        <v>-244898</v>
      </c>
    </row>
    <row r="320" spans="1:11" x14ac:dyDescent="0.25">
      <c r="C320" s="10">
        <f>C319-B315</f>
        <v>29110.51999999999</v>
      </c>
    </row>
    <row r="323" spans="1:9" x14ac:dyDescent="0.25">
      <c r="A323" s="42"/>
      <c r="B323" s="43"/>
      <c r="C323" s="43"/>
      <c r="D323" s="43"/>
      <c r="E323" s="112" t="s">
        <v>29</v>
      </c>
      <c r="F323" s="112"/>
      <c r="G323" s="112"/>
      <c r="H323" s="112"/>
    </row>
    <row r="324" spans="1:9" x14ac:dyDescent="0.25">
      <c r="A324" s="113"/>
      <c r="B324" s="114"/>
      <c r="C324" s="114"/>
      <c r="D324" s="115"/>
      <c r="E324" s="115" t="s">
        <v>0</v>
      </c>
      <c r="F324" s="115"/>
      <c r="G324" s="115"/>
      <c r="H324" s="115"/>
    </row>
    <row r="325" spans="1:9" x14ac:dyDescent="0.25">
      <c r="A325" s="113"/>
      <c r="B325" s="114"/>
      <c r="C325" s="114"/>
      <c r="D325" s="115"/>
      <c r="E325" s="128" t="s">
        <v>31</v>
      </c>
      <c r="F325" s="115"/>
      <c r="G325" s="115"/>
      <c r="H325" s="115"/>
    </row>
    <row r="326" spans="1:9" ht="15.75" thickBot="1" x14ac:dyDescent="0.3">
      <c r="A326" s="98" t="s">
        <v>158</v>
      </c>
      <c r="B326" s="98"/>
      <c r="C326" s="98"/>
      <c r="D326" s="98"/>
      <c r="E326" s="98"/>
      <c r="F326" s="98"/>
      <c r="G326" s="98"/>
      <c r="H326" s="98"/>
    </row>
    <row r="327" spans="1:9" x14ac:dyDescent="0.25">
      <c r="A327" s="100" t="s">
        <v>2</v>
      </c>
      <c r="B327" s="103" t="s">
        <v>30</v>
      </c>
      <c r="C327" s="104"/>
      <c r="D327" s="104"/>
      <c r="E327" s="104"/>
      <c r="F327" s="104"/>
      <c r="G327" s="105" t="s">
        <v>3</v>
      </c>
      <c r="H327" s="106"/>
    </row>
    <row r="328" spans="1:9" ht="135.75" thickBot="1" x14ac:dyDescent="0.3">
      <c r="A328" s="124"/>
      <c r="B328" s="105" t="s">
        <v>30</v>
      </c>
      <c r="C328" s="105"/>
      <c r="D328" s="15" t="s">
        <v>32</v>
      </c>
      <c r="E328" s="105" t="s">
        <v>4</v>
      </c>
      <c r="F328" s="105"/>
      <c r="G328" s="125"/>
      <c r="H328" s="109"/>
    </row>
    <row r="329" spans="1:9" ht="165.75" thickBot="1" x14ac:dyDescent="0.3">
      <c r="A329" s="102"/>
      <c r="B329" s="14" t="s">
        <v>36</v>
      </c>
      <c r="C329" s="40" t="s">
        <v>5</v>
      </c>
      <c r="D329" s="15" t="s">
        <v>33</v>
      </c>
      <c r="E329" s="40" t="s">
        <v>34</v>
      </c>
      <c r="F329" s="7" t="s">
        <v>35</v>
      </c>
      <c r="G329" s="110"/>
      <c r="H329" s="111"/>
    </row>
    <row r="330" spans="1:9" ht="15.75" thickBot="1" x14ac:dyDescent="0.3">
      <c r="A330" s="39">
        <v>1</v>
      </c>
      <c r="B330" s="7">
        <v>2</v>
      </c>
      <c r="C330" s="11">
        <v>3</v>
      </c>
      <c r="D330" s="7">
        <v>4</v>
      </c>
      <c r="E330" s="11">
        <v>5</v>
      </c>
      <c r="F330" s="7">
        <v>6</v>
      </c>
      <c r="G330" s="96" t="s">
        <v>6</v>
      </c>
      <c r="H330" s="97"/>
    </row>
    <row r="331" spans="1:9" ht="60.75" thickBot="1" x14ac:dyDescent="0.3">
      <c r="A331" s="2" t="s">
        <v>7</v>
      </c>
      <c r="B331" s="6">
        <f>B332</f>
        <v>122438.47</v>
      </c>
      <c r="C331" s="12"/>
      <c r="D331" s="6">
        <f>D332</f>
        <v>36572.53</v>
      </c>
      <c r="E331" s="8" t="s">
        <v>8</v>
      </c>
      <c r="F331" s="8" t="s">
        <v>8</v>
      </c>
      <c r="G331" s="90">
        <f>159950-939</f>
        <v>159011</v>
      </c>
      <c r="H331" s="91"/>
    </row>
    <row r="332" spans="1:9" ht="15.75" thickBot="1" x14ac:dyDescent="0.3">
      <c r="A332" s="3" t="s">
        <v>9</v>
      </c>
      <c r="B332" s="6">
        <f>G332*77%</f>
        <v>122438.47</v>
      </c>
      <c r="C332" s="12"/>
      <c r="D332" s="41">
        <f>G332-B332</f>
        <v>36572.53</v>
      </c>
      <c r="E332" s="8" t="s">
        <v>8</v>
      </c>
      <c r="F332" s="8" t="s">
        <v>8</v>
      </c>
      <c r="G332" s="90">
        <f>G331</f>
        <v>159011</v>
      </c>
      <c r="H332" s="91"/>
    </row>
    <row r="333" spans="1:9" ht="15.75" thickBot="1" x14ac:dyDescent="0.3">
      <c r="A333" s="2" t="s">
        <v>10</v>
      </c>
      <c r="B333" s="6">
        <v>0</v>
      </c>
      <c r="C333" s="12"/>
      <c r="D333" s="6">
        <v>0</v>
      </c>
      <c r="E333" s="8" t="s">
        <v>8</v>
      </c>
      <c r="F333" s="8" t="s">
        <v>8</v>
      </c>
      <c r="G333" s="90">
        <v>0</v>
      </c>
      <c r="H333" s="91"/>
    </row>
    <row r="334" spans="1:9" ht="60.75" thickBot="1" x14ac:dyDescent="0.3">
      <c r="A334" s="2" t="s">
        <v>11</v>
      </c>
      <c r="B334" s="6">
        <f>G334*77%</f>
        <v>60490.43</v>
      </c>
      <c r="C334" s="12"/>
      <c r="D334" s="41">
        <f>G334-B334</f>
        <v>18068.57</v>
      </c>
      <c r="E334" s="8" t="s">
        <v>8</v>
      </c>
      <c r="F334" s="8" t="s">
        <v>8</v>
      </c>
      <c r="G334" s="90">
        <f>79055-496</f>
        <v>78559</v>
      </c>
      <c r="H334" s="91"/>
    </row>
    <row r="335" spans="1:9" ht="30.75" thickBot="1" x14ac:dyDescent="0.3">
      <c r="A335" s="2" t="s">
        <v>12</v>
      </c>
      <c r="B335" s="6">
        <f>G335*77%</f>
        <v>1104.95</v>
      </c>
      <c r="C335" s="12"/>
      <c r="D335" s="41">
        <f>G335-B335</f>
        <v>330.04999999999995</v>
      </c>
      <c r="E335" s="8" t="s">
        <v>8</v>
      </c>
      <c r="F335" s="8" t="s">
        <v>8</v>
      </c>
      <c r="G335" s="90">
        <f>939+496</f>
        <v>1435</v>
      </c>
      <c r="H335" s="91"/>
      <c r="I335" s="10">
        <f>G332+G334+G335</f>
        <v>239005</v>
      </c>
    </row>
    <row r="336" spans="1:9" ht="15.75" thickBot="1" x14ac:dyDescent="0.3">
      <c r="A336" s="2" t="s">
        <v>13</v>
      </c>
      <c r="B336" s="6">
        <f>G336*56%</f>
        <v>3717.84</v>
      </c>
      <c r="C336" s="6"/>
      <c r="D336" s="41">
        <f>G336-B336</f>
        <v>2921.16</v>
      </c>
      <c r="E336" s="8" t="s">
        <v>8</v>
      </c>
      <c r="F336" s="8" t="s">
        <v>8</v>
      </c>
      <c r="G336" s="90">
        <v>6639</v>
      </c>
      <c r="H336" s="91"/>
    </row>
    <row r="337" spans="1:11" ht="30.75" thickBot="1" x14ac:dyDescent="0.3">
      <c r="A337" s="2" t="s">
        <v>14</v>
      </c>
      <c r="B337" s="6">
        <f>G337*56%</f>
        <v>6745.76</v>
      </c>
      <c r="C337" s="6"/>
      <c r="D337" s="41">
        <f>G337-B337</f>
        <v>5300.24</v>
      </c>
      <c r="E337" s="8" t="s">
        <v>8</v>
      </c>
      <c r="F337" s="8" t="s">
        <v>8</v>
      </c>
      <c r="G337" s="90">
        <f>1585+10461</f>
        <v>12046</v>
      </c>
      <c r="H337" s="91"/>
    </row>
    <row r="338" spans="1:11" ht="45.75" thickBot="1" x14ac:dyDescent="0.3">
      <c r="A338" s="2" t="s">
        <v>15</v>
      </c>
      <c r="B338" s="8" t="s">
        <v>8</v>
      </c>
      <c r="C338" s="8" t="s">
        <v>8</v>
      </c>
      <c r="D338" s="6"/>
      <c r="E338" s="8" t="s">
        <v>8</v>
      </c>
      <c r="F338" s="8" t="s">
        <v>8</v>
      </c>
      <c r="G338" s="90"/>
      <c r="H338" s="91"/>
    </row>
    <row r="339" spans="1:11" ht="15.75" thickBot="1" x14ac:dyDescent="0.3">
      <c r="A339" s="2" t="s">
        <v>16</v>
      </c>
      <c r="B339" s="8" t="s">
        <v>8</v>
      </c>
      <c r="C339" s="8" t="s">
        <v>8</v>
      </c>
      <c r="D339" s="12"/>
      <c r="E339" s="6">
        <v>120</v>
      </c>
      <c r="F339" s="6"/>
      <c r="G339" s="90">
        <v>120</v>
      </c>
      <c r="H339" s="91"/>
    </row>
    <row r="340" spans="1:11" ht="15.75" thickBot="1" x14ac:dyDescent="0.3">
      <c r="A340" s="3" t="s">
        <v>17</v>
      </c>
      <c r="B340" s="6">
        <f>G340*56%</f>
        <v>0</v>
      </c>
      <c r="C340" s="8"/>
      <c r="D340" s="6"/>
      <c r="E340" s="6">
        <f>G340-B340</f>
        <v>0</v>
      </c>
      <c r="F340" s="6"/>
      <c r="G340" s="90">
        <v>0</v>
      </c>
      <c r="H340" s="91"/>
    </row>
    <row r="341" spans="1:11" ht="15.75" thickBot="1" x14ac:dyDescent="0.3">
      <c r="A341" s="3" t="s">
        <v>18</v>
      </c>
      <c r="B341" s="6"/>
      <c r="C341" s="8"/>
      <c r="D341" s="8"/>
      <c r="E341" s="6"/>
      <c r="F341" s="6"/>
      <c r="G341" s="90"/>
      <c r="H341" s="91"/>
    </row>
    <row r="342" spans="1:11" ht="45.75" thickBot="1" x14ac:dyDescent="0.3">
      <c r="A342" s="2" t="s">
        <v>19</v>
      </c>
      <c r="B342" s="6"/>
      <c r="C342" s="8"/>
      <c r="D342" s="6"/>
      <c r="E342" s="6"/>
      <c r="F342" s="6"/>
      <c r="G342" s="94"/>
      <c r="H342" s="95"/>
      <c r="J342" s="10">
        <f>G336+G337+G339+G344+G345+I335+G343</f>
        <v>375408</v>
      </c>
    </row>
    <row r="343" spans="1:11" ht="30.75" thickBot="1" x14ac:dyDescent="0.3">
      <c r="A343" s="2" t="s">
        <v>20</v>
      </c>
      <c r="B343" s="6"/>
      <c r="C343" s="8"/>
      <c r="D343" s="6"/>
      <c r="E343" s="6">
        <v>32254</v>
      </c>
      <c r="F343" s="6"/>
      <c r="G343" s="90">
        <v>32254</v>
      </c>
      <c r="H343" s="91"/>
    </row>
    <row r="344" spans="1:11" ht="30.75" thickBot="1" x14ac:dyDescent="0.3">
      <c r="A344" s="2" t="s">
        <v>21</v>
      </c>
      <c r="B344" s="6">
        <f>G344*56%</f>
        <v>28010.080000000002</v>
      </c>
      <c r="C344" s="6"/>
      <c r="D344" s="41">
        <f>G344-B344</f>
        <v>22007.919999999998</v>
      </c>
      <c r="E344" s="8" t="s">
        <v>8</v>
      </c>
      <c r="F344" s="8" t="s">
        <v>8</v>
      </c>
      <c r="G344" s="90">
        <f>49938-120+142+58</f>
        <v>50018</v>
      </c>
      <c r="H344" s="91"/>
      <c r="J344" s="10">
        <f>G343-19406</f>
        <v>12848</v>
      </c>
    </row>
    <row r="345" spans="1:11" ht="15.75" thickBot="1" x14ac:dyDescent="0.3">
      <c r="A345" s="3" t="s">
        <v>22</v>
      </c>
      <c r="B345" s="6">
        <f>G345*56%</f>
        <v>19782.560000000001</v>
      </c>
      <c r="C345" s="6"/>
      <c r="D345" s="41">
        <f>G345-B345</f>
        <v>15543.439999999999</v>
      </c>
      <c r="E345" s="8" t="s">
        <v>8</v>
      </c>
      <c r="F345" s="8" t="s">
        <v>8</v>
      </c>
      <c r="G345" s="90">
        <f>15271+3810+16245</f>
        <v>35326</v>
      </c>
      <c r="H345" s="91"/>
      <c r="J345" s="10">
        <f>320648-G348</f>
        <v>-54760</v>
      </c>
    </row>
    <row r="346" spans="1:11" ht="15.75" thickBot="1" x14ac:dyDescent="0.3">
      <c r="A346" s="3" t="s">
        <v>23</v>
      </c>
      <c r="B346" s="8" t="s">
        <v>8</v>
      </c>
      <c r="C346" s="12"/>
      <c r="D346" s="8" t="s">
        <v>8</v>
      </c>
      <c r="E346" s="8" t="s">
        <v>8</v>
      </c>
      <c r="F346" s="8" t="s">
        <v>8</v>
      </c>
      <c r="G346" s="94"/>
      <c r="H346" s="95"/>
    </row>
    <row r="347" spans="1:11" ht="15.75" thickBot="1" x14ac:dyDescent="0.3">
      <c r="A347" s="3" t="s">
        <v>24</v>
      </c>
      <c r="B347" s="6"/>
      <c r="C347" s="6"/>
      <c r="D347" s="6"/>
      <c r="E347" s="8" t="s">
        <v>8</v>
      </c>
      <c r="F347" s="8" t="s">
        <v>8</v>
      </c>
      <c r="G347" s="90"/>
      <c r="H347" s="91"/>
    </row>
    <row r="348" spans="1:11" ht="15.75" thickBot="1" x14ac:dyDescent="0.3">
      <c r="A348" s="4" t="s">
        <v>25</v>
      </c>
      <c r="B348" s="6">
        <f>SUM(B332:B347)</f>
        <v>242290.09000000003</v>
      </c>
      <c r="C348" s="6"/>
      <c r="D348" s="6">
        <f>SUM(D332:D347)</f>
        <v>100743.91</v>
      </c>
      <c r="E348" s="6">
        <f>SUM(E332:E347)</f>
        <v>32374</v>
      </c>
      <c r="F348" s="6"/>
      <c r="G348" s="90">
        <f>SUM(G332:H347)</f>
        <v>375408</v>
      </c>
      <c r="H348" s="91"/>
      <c r="J348" s="10">
        <f>362560-G348</f>
        <v>-12848</v>
      </c>
    </row>
    <row r="349" spans="1:11" x14ac:dyDescent="0.25">
      <c r="A349" s="92" t="s">
        <v>26</v>
      </c>
      <c r="B349" s="92"/>
      <c r="C349" s="92"/>
      <c r="D349" s="92"/>
      <c r="E349" s="92"/>
      <c r="F349" s="92"/>
      <c r="G349" s="92"/>
      <c r="H349" s="92"/>
    </row>
    <row r="350" spans="1:11" x14ac:dyDescent="0.25">
      <c r="A350" s="93" t="s">
        <v>27</v>
      </c>
      <c r="B350" s="93"/>
      <c r="C350" s="93"/>
      <c r="D350" s="93"/>
      <c r="E350" s="93"/>
      <c r="F350" s="93"/>
      <c r="G350" s="93"/>
      <c r="H350" s="93"/>
    </row>
    <row r="351" spans="1:11" x14ac:dyDescent="0.25">
      <c r="A351" s="93" t="s">
        <v>28</v>
      </c>
      <c r="B351" s="93"/>
      <c r="C351" s="93"/>
      <c r="D351" s="93"/>
      <c r="E351" s="93"/>
      <c r="F351" s="93"/>
      <c r="G351" s="93"/>
      <c r="H351" s="93"/>
      <c r="K351" s="10">
        <f>G860-G855</f>
        <v>0</v>
      </c>
    </row>
    <row r="352" spans="1:11" x14ac:dyDescent="0.25">
      <c r="B352" s="10" t="s">
        <v>159</v>
      </c>
      <c r="C352" s="10">
        <v>254391</v>
      </c>
      <c r="K352" s="10">
        <f>K351-244898</f>
        <v>-244898</v>
      </c>
    </row>
    <row r="353" spans="1:8" x14ac:dyDescent="0.25">
      <c r="C353" s="10">
        <f>C352-B348</f>
        <v>12100.909999999974</v>
      </c>
    </row>
    <row r="358" spans="1:8" x14ac:dyDescent="0.25">
      <c r="A358" s="42"/>
      <c r="B358" s="43"/>
      <c r="C358" s="43"/>
      <c r="D358" s="43"/>
      <c r="E358" s="112" t="s">
        <v>29</v>
      </c>
      <c r="F358" s="112"/>
      <c r="G358" s="112"/>
      <c r="H358" s="112"/>
    </row>
    <row r="359" spans="1:8" x14ac:dyDescent="0.25">
      <c r="A359" s="113"/>
      <c r="B359" s="114"/>
      <c r="C359" s="114"/>
      <c r="D359" s="115"/>
      <c r="E359" s="115" t="s">
        <v>0</v>
      </c>
      <c r="F359" s="115"/>
      <c r="G359" s="115"/>
      <c r="H359" s="115"/>
    </row>
    <row r="360" spans="1:8" x14ac:dyDescent="0.25">
      <c r="A360" s="113"/>
      <c r="B360" s="114"/>
      <c r="C360" s="114"/>
      <c r="D360" s="115"/>
      <c r="E360" s="123" t="s">
        <v>31</v>
      </c>
      <c r="F360" s="115"/>
      <c r="G360" s="115"/>
      <c r="H360" s="115"/>
    </row>
    <row r="361" spans="1:8" ht="15.75" thickBot="1" x14ac:dyDescent="0.3">
      <c r="A361" s="98" t="s">
        <v>160</v>
      </c>
      <c r="B361" s="98"/>
      <c r="C361" s="98"/>
      <c r="D361" s="98"/>
      <c r="E361" s="98"/>
      <c r="F361" s="98"/>
      <c r="G361" s="98"/>
      <c r="H361" s="98"/>
    </row>
    <row r="362" spans="1:8" x14ac:dyDescent="0.25">
      <c r="A362" s="100" t="s">
        <v>2</v>
      </c>
      <c r="B362" s="103" t="s">
        <v>30</v>
      </c>
      <c r="C362" s="104"/>
      <c r="D362" s="104"/>
      <c r="E362" s="104"/>
      <c r="F362" s="104"/>
      <c r="G362" s="105" t="s">
        <v>3</v>
      </c>
      <c r="H362" s="106"/>
    </row>
    <row r="363" spans="1:8" ht="135.75" thickBot="1" x14ac:dyDescent="0.3">
      <c r="A363" s="124"/>
      <c r="B363" s="105" t="s">
        <v>30</v>
      </c>
      <c r="C363" s="105"/>
      <c r="D363" s="15" t="s">
        <v>32</v>
      </c>
      <c r="E363" s="105" t="s">
        <v>4</v>
      </c>
      <c r="F363" s="105"/>
      <c r="G363" s="125"/>
      <c r="H363" s="109"/>
    </row>
    <row r="364" spans="1:8" ht="165.75" thickBot="1" x14ac:dyDescent="0.3">
      <c r="A364" s="102"/>
      <c r="B364" s="14" t="s">
        <v>36</v>
      </c>
      <c r="C364" s="40" t="s">
        <v>5</v>
      </c>
      <c r="D364" s="15" t="s">
        <v>33</v>
      </c>
      <c r="E364" s="40" t="s">
        <v>34</v>
      </c>
      <c r="F364" s="7" t="s">
        <v>35</v>
      </c>
      <c r="G364" s="110"/>
      <c r="H364" s="111"/>
    </row>
    <row r="365" spans="1:8" ht="15.75" thickBot="1" x14ac:dyDescent="0.3">
      <c r="A365" s="39">
        <v>1</v>
      </c>
      <c r="B365" s="7">
        <v>2</v>
      </c>
      <c r="C365" s="11">
        <v>3</v>
      </c>
      <c r="D365" s="7">
        <v>4</v>
      </c>
      <c r="E365" s="11">
        <v>5</v>
      </c>
      <c r="F365" s="7">
        <v>6</v>
      </c>
      <c r="G365" s="96" t="s">
        <v>6</v>
      </c>
      <c r="H365" s="97"/>
    </row>
    <row r="366" spans="1:8" ht="60.75" thickBot="1" x14ac:dyDescent="0.3">
      <c r="A366" s="2" t="s">
        <v>7</v>
      </c>
      <c r="B366" s="6">
        <f>B367</f>
        <v>144893.98000000001</v>
      </c>
      <c r="C366" s="12"/>
      <c r="D366" s="6">
        <f>D367</f>
        <v>43280.01999999999</v>
      </c>
      <c r="E366" s="8" t="s">
        <v>8</v>
      </c>
      <c r="F366" s="8" t="s">
        <v>8</v>
      </c>
      <c r="G366" s="90">
        <f>191126-1092-1860</f>
        <v>188174</v>
      </c>
      <c r="H366" s="91"/>
    </row>
    <row r="367" spans="1:8" ht="15.75" thickBot="1" x14ac:dyDescent="0.3">
      <c r="A367" s="3" t="s">
        <v>9</v>
      </c>
      <c r="B367" s="6">
        <f>G367*77%</f>
        <v>144893.98000000001</v>
      </c>
      <c r="C367" s="12"/>
      <c r="D367" s="41">
        <f>G367-B367</f>
        <v>43280.01999999999</v>
      </c>
      <c r="E367" s="8" t="s">
        <v>8</v>
      </c>
      <c r="F367" s="8" t="s">
        <v>8</v>
      </c>
      <c r="G367" s="90">
        <f>G366</f>
        <v>188174</v>
      </c>
      <c r="H367" s="91"/>
    </row>
    <row r="368" spans="1:8" ht="15.75" thickBot="1" x14ac:dyDescent="0.3">
      <c r="A368" s="2" t="s">
        <v>10</v>
      </c>
      <c r="B368" s="6">
        <v>0</v>
      </c>
      <c r="C368" s="12"/>
      <c r="D368" s="6">
        <v>0</v>
      </c>
      <c r="E368" s="8" t="s">
        <v>8</v>
      </c>
      <c r="F368" s="8" t="s">
        <v>8</v>
      </c>
      <c r="G368" s="90">
        <v>0</v>
      </c>
      <c r="H368" s="91"/>
    </row>
    <row r="369" spans="1:11" ht="60.75" thickBot="1" x14ac:dyDescent="0.3">
      <c r="A369" s="2" t="s">
        <v>11</v>
      </c>
      <c r="B369" s="6">
        <f>G369*77%</f>
        <v>78007.930000000008</v>
      </c>
      <c r="C369" s="12"/>
      <c r="D369" s="41">
        <f>G369-B369</f>
        <v>23301.069999999992</v>
      </c>
      <c r="E369" s="8" t="s">
        <v>8</v>
      </c>
      <c r="F369" s="8" t="s">
        <v>8</v>
      </c>
      <c r="G369" s="90">
        <f>101066-557+800</f>
        <v>101309</v>
      </c>
      <c r="H369" s="91"/>
    </row>
    <row r="370" spans="1:11" ht="30.75" thickBot="1" x14ac:dyDescent="0.3">
      <c r="A370" s="2" t="s">
        <v>12</v>
      </c>
      <c r="B370" s="6">
        <f>G370*77%</f>
        <v>3317.9300000000003</v>
      </c>
      <c r="C370" s="12"/>
      <c r="D370" s="41">
        <f>G370-B370</f>
        <v>991.06999999999971</v>
      </c>
      <c r="E370" s="8" t="s">
        <v>8</v>
      </c>
      <c r="F370" s="8" t="s">
        <v>8</v>
      </c>
      <c r="G370" s="90">
        <f>1092+557+1860+800</f>
        <v>4309</v>
      </c>
      <c r="H370" s="91"/>
      <c r="I370" s="10">
        <f>G367+G369+G370</f>
        <v>293792</v>
      </c>
    </row>
    <row r="371" spans="1:11" ht="15.75" thickBot="1" x14ac:dyDescent="0.3">
      <c r="A371" s="2" t="s">
        <v>13</v>
      </c>
      <c r="B371" s="6">
        <f>G371*56%</f>
        <v>7626.0800000000008</v>
      </c>
      <c r="C371" s="6"/>
      <c r="D371" s="41">
        <f>G371-B371</f>
        <v>5991.9199999999992</v>
      </c>
      <c r="E371" s="8" t="s">
        <v>8</v>
      </c>
      <c r="F371" s="8" t="s">
        <v>8</v>
      </c>
      <c r="G371" s="90">
        <v>13618</v>
      </c>
      <c r="H371" s="91"/>
    </row>
    <row r="372" spans="1:11" ht="30.75" thickBot="1" x14ac:dyDescent="0.3">
      <c r="A372" s="2" t="s">
        <v>14</v>
      </c>
      <c r="B372" s="6">
        <f>G372*56%</f>
        <v>7126.0000000000009</v>
      </c>
      <c r="C372" s="6"/>
      <c r="D372" s="41">
        <f>G372-B372</f>
        <v>5598.9999999999991</v>
      </c>
      <c r="E372" s="8" t="s">
        <v>8</v>
      </c>
      <c r="F372" s="8" t="s">
        <v>8</v>
      </c>
      <c r="G372" s="90">
        <f>12378+347</f>
        <v>12725</v>
      </c>
      <c r="H372" s="91"/>
    </row>
    <row r="373" spans="1:11" ht="45.75" thickBot="1" x14ac:dyDescent="0.3">
      <c r="A373" s="2" t="s">
        <v>15</v>
      </c>
      <c r="B373" s="8" t="s">
        <v>8</v>
      </c>
      <c r="C373" s="8" t="s">
        <v>8</v>
      </c>
      <c r="D373" s="6"/>
      <c r="E373" s="8" t="s">
        <v>8</v>
      </c>
      <c r="F373" s="8" t="s">
        <v>8</v>
      </c>
      <c r="G373" s="90"/>
      <c r="H373" s="91"/>
    </row>
    <row r="374" spans="1:11" ht="15.75" thickBot="1" x14ac:dyDescent="0.3">
      <c r="A374" s="2" t="s">
        <v>16</v>
      </c>
      <c r="B374" s="8" t="s">
        <v>8</v>
      </c>
      <c r="C374" s="8" t="s">
        <v>8</v>
      </c>
      <c r="D374" s="12"/>
      <c r="E374" s="6">
        <v>120</v>
      </c>
      <c r="F374" s="6"/>
      <c r="G374" s="90">
        <v>120</v>
      </c>
      <c r="H374" s="91"/>
    </row>
    <row r="375" spans="1:11" ht="15.75" thickBot="1" x14ac:dyDescent="0.3">
      <c r="A375" s="3" t="s">
        <v>17</v>
      </c>
      <c r="B375" s="6">
        <f>G375*56%</f>
        <v>0</v>
      </c>
      <c r="C375" s="8"/>
      <c r="D375" s="6"/>
      <c r="E375" s="6">
        <f>G375-B375</f>
        <v>0</v>
      </c>
      <c r="F375" s="6"/>
      <c r="G375" s="90">
        <v>0</v>
      </c>
      <c r="H375" s="91"/>
    </row>
    <row r="376" spans="1:11" ht="15.75" thickBot="1" x14ac:dyDescent="0.3">
      <c r="A376" s="3" t="s">
        <v>18</v>
      </c>
      <c r="B376" s="6"/>
      <c r="C376" s="8"/>
      <c r="D376" s="8"/>
      <c r="E376" s="6"/>
      <c r="F376" s="6"/>
      <c r="G376" s="90"/>
      <c r="H376" s="91"/>
    </row>
    <row r="377" spans="1:11" ht="45.75" thickBot="1" x14ac:dyDescent="0.3">
      <c r="A377" s="2" t="s">
        <v>19</v>
      </c>
      <c r="B377" s="6"/>
      <c r="C377" s="8"/>
      <c r="D377" s="6"/>
      <c r="E377" s="6"/>
      <c r="F377" s="6"/>
      <c r="G377" s="94"/>
      <c r="H377" s="95"/>
      <c r="J377" s="10">
        <f>G371+G372+G374+G379+G380+I370+G378</f>
        <v>445129</v>
      </c>
    </row>
    <row r="378" spans="1:11" ht="30.75" thickBot="1" x14ac:dyDescent="0.3">
      <c r="A378" s="2" t="s">
        <v>20</v>
      </c>
      <c r="B378" s="6"/>
      <c r="C378" s="8"/>
      <c r="D378" s="6"/>
      <c r="E378" s="6">
        <v>35498</v>
      </c>
      <c r="F378" s="6"/>
      <c r="G378" s="90">
        <v>35498</v>
      </c>
      <c r="H378" s="91"/>
    </row>
    <row r="379" spans="1:11" ht="30.75" thickBot="1" x14ac:dyDescent="0.3">
      <c r="A379" s="2" t="s">
        <v>21</v>
      </c>
      <c r="B379" s="6">
        <f>G379*56%</f>
        <v>29415.120000000003</v>
      </c>
      <c r="C379" s="6"/>
      <c r="D379" s="41">
        <f>G379-B379</f>
        <v>23111.879999999997</v>
      </c>
      <c r="E379" s="8" t="s">
        <v>8</v>
      </c>
      <c r="F379" s="8" t="s">
        <v>8</v>
      </c>
      <c r="G379" s="90">
        <f>52447-120+142+58</f>
        <v>52527</v>
      </c>
      <c r="H379" s="91"/>
      <c r="J379" s="10">
        <f>G378-19406</f>
        <v>16092</v>
      </c>
    </row>
    <row r="380" spans="1:11" ht="15.75" thickBot="1" x14ac:dyDescent="0.3">
      <c r="A380" s="3" t="s">
        <v>22</v>
      </c>
      <c r="B380" s="6">
        <f>G380*56%</f>
        <v>20635.440000000002</v>
      </c>
      <c r="C380" s="6"/>
      <c r="D380" s="41">
        <f>G380-B380</f>
        <v>16213.559999999998</v>
      </c>
      <c r="E380" s="8" t="s">
        <v>8</v>
      </c>
      <c r="F380" s="8" t="s">
        <v>8</v>
      </c>
      <c r="G380" s="90">
        <f>3844+16760+16245</f>
        <v>36849</v>
      </c>
      <c r="H380" s="91"/>
      <c r="J380" s="10">
        <f>320648-G383</f>
        <v>-124481</v>
      </c>
      <c r="K380" s="10">
        <f>J379+J383</f>
        <v>-1601</v>
      </c>
    </row>
    <row r="381" spans="1:11" ht="15.75" thickBot="1" x14ac:dyDescent="0.3">
      <c r="A381" s="3" t="s">
        <v>23</v>
      </c>
      <c r="B381" s="8" t="s">
        <v>8</v>
      </c>
      <c r="C381" s="12"/>
      <c r="D381" s="8" t="s">
        <v>8</v>
      </c>
      <c r="E381" s="8" t="s">
        <v>8</v>
      </c>
      <c r="F381" s="8" t="s">
        <v>8</v>
      </c>
      <c r="G381" s="94"/>
      <c r="H381" s="95"/>
    </row>
    <row r="382" spans="1:11" ht="15.75" thickBot="1" x14ac:dyDescent="0.3">
      <c r="A382" s="3" t="s">
        <v>24</v>
      </c>
      <c r="B382" s="6"/>
      <c r="C382" s="6"/>
      <c r="D382" s="6"/>
      <c r="E382" s="8" t="s">
        <v>8</v>
      </c>
      <c r="F382" s="8" t="s">
        <v>8</v>
      </c>
      <c r="G382" s="90"/>
      <c r="H382" s="91"/>
    </row>
    <row r="383" spans="1:11" ht="15.75" thickBot="1" x14ac:dyDescent="0.3">
      <c r="A383" s="4" t="s">
        <v>25</v>
      </c>
      <c r="B383" s="6">
        <f>SUM(B367:B382)</f>
        <v>291022.48000000004</v>
      </c>
      <c r="C383" s="6"/>
      <c r="D383" s="6">
        <f>SUM(D367:D382)</f>
        <v>118488.51999999996</v>
      </c>
      <c r="E383" s="6">
        <f>SUM(E367:E382)</f>
        <v>35618</v>
      </c>
      <c r="F383" s="6"/>
      <c r="G383" s="90">
        <f>SUM(G367:H382)</f>
        <v>445129</v>
      </c>
      <c r="H383" s="91"/>
      <c r="J383" s="10">
        <f>427436-G383</f>
        <v>-17693</v>
      </c>
    </row>
    <row r="384" spans="1:11" x14ac:dyDescent="0.25">
      <c r="A384" s="92" t="s">
        <v>26</v>
      </c>
      <c r="B384" s="92"/>
      <c r="C384" s="92"/>
      <c r="D384" s="92"/>
      <c r="E384" s="92"/>
      <c r="F384" s="92"/>
      <c r="G384" s="92"/>
      <c r="H384" s="92"/>
    </row>
    <row r="385" spans="1:11" x14ac:dyDescent="0.25">
      <c r="A385" s="93" t="s">
        <v>27</v>
      </c>
      <c r="B385" s="93"/>
      <c r="C385" s="93"/>
      <c r="D385" s="93"/>
      <c r="E385" s="93"/>
      <c r="F385" s="93"/>
      <c r="G385" s="93"/>
      <c r="H385" s="93"/>
    </row>
    <row r="386" spans="1:11" x14ac:dyDescent="0.25">
      <c r="A386" s="93" t="s">
        <v>28</v>
      </c>
      <c r="B386" s="93"/>
      <c r="C386" s="93"/>
      <c r="D386" s="93"/>
      <c r="E386" s="93"/>
      <c r="F386" s="93"/>
      <c r="G386" s="93"/>
      <c r="H386" s="93"/>
      <c r="K386" s="10">
        <f>G895-G890</f>
        <v>0</v>
      </c>
    </row>
    <row r="387" spans="1:11" x14ac:dyDescent="0.25">
      <c r="B387" s="10" t="s">
        <v>161</v>
      </c>
      <c r="C387" s="10">
        <v>278971</v>
      </c>
      <c r="K387" s="10">
        <f>K386-244898</f>
        <v>-244898</v>
      </c>
    </row>
    <row r="388" spans="1:11" x14ac:dyDescent="0.25">
      <c r="C388" s="10">
        <f>C387-B383</f>
        <v>-12051.48000000004</v>
      </c>
    </row>
    <row r="394" spans="1:11" x14ac:dyDescent="0.25">
      <c r="A394" s="42"/>
      <c r="B394" s="43"/>
      <c r="C394" s="43"/>
      <c r="D394" s="43"/>
      <c r="E394" s="112"/>
      <c r="F394" s="112"/>
      <c r="G394" s="112"/>
      <c r="H394" s="112"/>
    </row>
    <row r="395" spans="1:11" ht="11.45" customHeight="1" x14ac:dyDescent="0.25">
      <c r="A395" s="113"/>
      <c r="B395" s="114"/>
      <c r="C395" s="114"/>
      <c r="D395" s="115"/>
      <c r="E395" s="115"/>
      <c r="F395" s="115"/>
      <c r="G395" s="115"/>
      <c r="H395" s="115"/>
    </row>
    <row r="396" spans="1:11" ht="11.45" customHeight="1" x14ac:dyDescent="0.25">
      <c r="A396" s="113"/>
      <c r="B396" s="114"/>
      <c r="C396" s="114"/>
      <c r="D396" s="115"/>
      <c r="E396" s="46"/>
      <c r="F396" s="46"/>
      <c r="G396" s="46"/>
      <c r="H396" s="46"/>
    </row>
    <row r="397" spans="1:11" x14ac:dyDescent="0.25">
      <c r="A397" s="113"/>
      <c r="B397" s="114"/>
      <c r="C397" s="114"/>
      <c r="D397" s="115"/>
      <c r="E397" s="128"/>
      <c r="F397" s="115"/>
      <c r="G397" s="115"/>
      <c r="H397" s="115"/>
    </row>
    <row r="398" spans="1:11" ht="15.75" x14ac:dyDescent="0.25">
      <c r="A398" s="44"/>
      <c r="B398" s="45"/>
      <c r="C398" s="45"/>
      <c r="D398" s="46"/>
      <c r="E398" s="47"/>
      <c r="F398" s="46"/>
      <c r="G398" s="46"/>
      <c r="H398" s="49" t="s">
        <v>169</v>
      </c>
    </row>
    <row r="399" spans="1:11" ht="15.75" x14ac:dyDescent="0.25">
      <c r="A399" s="44"/>
      <c r="B399" s="45"/>
      <c r="C399" s="45"/>
      <c r="D399" s="46"/>
      <c r="E399" s="47"/>
      <c r="F399" s="46"/>
      <c r="G399" s="46"/>
      <c r="H399" s="49" t="s">
        <v>170</v>
      </c>
    </row>
    <row r="400" spans="1:11" x14ac:dyDescent="0.25">
      <c r="A400" s="44"/>
      <c r="B400" s="45"/>
      <c r="C400" s="45"/>
      <c r="D400" s="46"/>
      <c r="E400" s="47"/>
      <c r="F400" s="46"/>
      <c r="G400" s="46"/>
      <c r="H400" s="46"/>
    </row>
    <row r="401" spans="1:9" ht="14.45" customHeight="1" x14ac:dyDescent="0.25">
      <c r="A401" s="50" t="s">
        <v>174</v>
      </c>
      <c r="B401" s="45"/>
      <c r="C401" s="45"/>
      <c r="D401" s="46"/>
      <c r="E401" s="47"/>
      <c r="F401" s="46"/>
      <c r="G401" s="46"/>
      <c r="H401" s="46"/>
    </row>
    <row r="402" spans="1:9" ht="40.15" customHeight="1" x14ac:dyDescent="0.25">
      <c r="A402" s="140" t="s">
        <v>175</v>
      </c>
      <c r="B402" s="141"/>
      <c r="C402" s="141"/>
      <c r="D402" s="141"/>
      <c r="E402" s="141"/>
      <c r="F402" s="141"/>
      <c r="G402" s="141"/>
      <c r="H402" s="141"/>
    </row>
    <row r="403" spans="1:9" x14ac:dyDescent="0.25">
      <c r="A403" s="55" t="s">
        <v>177</v>
      </c>
      <c r="B403" s="56"/>
      <c r="C403" s="56"/>
      <c r="D403" s="57"/>
      <c r="E403" s="57"/>
      <c r="F403" s="57"/>
      <c r="G403" s="57"/>
      <c r="H403" s="57"/>
    </row>
    <row r="404" spans="1:9" x14ac:dyDescent="0.25">
      <c r="A404" s="58" t="s">
        <v>171</v>
      </c>
      <c r="B404" s="56"/>
      <c r="C404" s="56"/>
      <c r="D404" s="57"/>
      <c r="E404" s="57"/>
      <c r="F404" s="57"/>
      <c r="G404" s="57"/>
      <c r="H404" s="57"/>
    </row>
    <row r="405" spans="1:9" x14ac:dyDescent="0.25">
      <c r="A405" s="44"/>
      <c r="B405" s="45"/>
      <c r="C405" s="45"/>
      <c r="D405" s="46"/>
      <c r="E405" s="47"/>
      <c r="F405" s="46"/>
      <c r="G405" s="46"/>
      <c r="H405" s="46"/>
    </row>
    <row r="406" spans="1:9" x14ac:dyDescent="0.25">
      <c r="A406" s="44"/>
      <c r="B406" s="45"/>
      <c r="C406" s="45"/>
      <c r="D406" s="46"/>
      <c r="E406" s="47"/>
      <c r="F406" s="46"/>
      <c r="G406" s="46"/>
      <c r="H406" s="46"/>
    </row>
    <row r="407" spans="1:9" ht="15.75" thickBot="1" x14ac:dyDescent="0.3">
      <c r="A407" s="99" t="s">
        <v>162</v>
      </c>
      <c r="B407" s="99"/>
      <c r="C407" s="99"/>
      <c r="D407" s="99"/>
      <c r="E407" s="99"/>
      <c r="F407" s="99"/>
      <c r="G407" s="99"/>
      <c r="H407" s="99"/>
    </row>
    <row r="408" spans="1:9" x14ac:dyDescent="0.25">
      <c r="A408" s="142" t="s">
        <v>2</v>
      </c>
      <c r="B408" s="137" t="s">
        <v>30</v>
      </c>
      <c r="C408" s="144"/>
      <c r="D408" s="144"/>
      <c r="E408" s="144"/>
      <c r="F408" s="144"/>
      <c r="G408" s="137" t="s">
        <v>3</v>
      </c>
      <c r="H408" s="138"/>
    </row>
    <row r="409" spans="1:9" ht="121.15" customHeight="1" x14ac:dyDescent="0.25">
      <c r="A409" s="124"/>
      <c r="B409" s="105" t="s">
        <v>172</v>
      </c>
      <c r="C409" s="105"/>
      <c r="D409" s="48" t="s">
        <v>32</v>
      </c>
      <c r="E409" s="105" t="s">
        <v>4</v>
      </c>
      <c r="F409" s="105"/>
      <c r="G409" s="106"/>
      <c r="H409" s="139"/>
    </row>
    <row r="410" spans="1:9" ht="118.9" customHeight="1" thickBot="1" x14ac:dyDescent="0.3">
      <c r="A410" s="143"/>
      <c r="B410" s="54" t="s">
        <v>36</v>
      </c>
      <c r="C410" s="54" t="s">
        <v>5</v>
      </c>
      <c r="D410" s="54" t="s">
        <v>33</v>
      </c>
      <c r="E410" s="54" t="s">
        <v>34</v>
      </c>
      <c r="F410" s="54" t="s">
        <v>35</v>
      </c>
      <c r="G410" s="133" t="s">
        <v>6</v>
      </c>
      <c r="H410" s="134"/>
    </row>
    <row r="411" spans="1:9" ht="15.75" thickBot="1" x14ac:dyDescent="0.3">
      <c r="A411" s="39">
        <v>1</v>
      </c>
      <c r="B411" s="7">
        <v>2</v>
      </c>
      <c r="C411" s="11">
        <v>3</v>
      </c>
      <c r="D411" s="7">
        <v>4</v>
      </c>
      <c r="E411" s="11">
        <v>5</v>
      </c>
      <c r="F411" s="7">
        <v>6</v>
      </c>
      <c r="G411" s="135">
        <v>7</v>
      </c>
      <c r="H411" s="136"/>
    </row>
    <row r="412" spans="1:9" ht="60.75" thickBot="1" x14ac:dyDescent="0.3">
      <c r="A412" s="2" t="s">
        <v>7</v>
      </c>
      <c r="B412" s="6">
        <f>B413</f>
        <v>161854</v>
      </c>
      <c r="C412" s="53" t="s">
        <v>8</v>
      </c>
      <c r="D412" s="6">
        <f>D413</f>
        <v>48346</v>
      </c>
      <c r="E412" s="8" t="s">
        <v>8</v>
      </c>
      <c r="F412" s="8" t="s">
        <v>8</v>
      </c>
      <c r="G412" s="90">
        <f>213278-1218-1860</f>
        <v>210200</v>
      </c>
      <c r="H412" s="91"/>
    </row>
    <row r="413" spans="1:9" ht="15.75" thickBot="1" x14ac:dyDescent="0.3">
      <c r="A413" s="3" t="s">
        <v>9</v>
      </c>
      <c r="B413" s="6">
        <f>G413*77%</f>
        <v>161854</v>
      </c>
      <c r="C413" s="53" t="s">
        <v>8</v>
      </c>
      <c r="D413" s="41">
        <f>G413-B413</f>
        <v>48346</v>
      </c>
      <c r="E413" s="8" t="s">
        <v>8</v>
      </c>
      <c r="F413" s="8" t="s">
        <v>8</v>
      </c>
      <c r="G413" s="90">
        <f>G412</f>
        <v>210200</v>
      </c>
      <c r="H413" s="91"/>
    </row>
    <row r="414" spans="1:9" ht="15.75" thickBot="1" x14ac:dyDescent="0.3">
      <c r="A414" s="2" t="s">
        <v>10</v>
      </c>
      <c r="B414" s="6">
        <v>0</v>
      </c>
      <c r="C414" s="53" t="s">
        <v>8</v>
      </c>
      <c r="D414" s="6">
        <v>0</v>
      </c>
      <c r="E414" s="8" t="s">
        <v>8</v>
      </c>
      <c r="F414" s="8" t="s">
        <v>8</v>
      </c>
      <c r="G414" s="90">
        <v>0</v>
      </c>
      <c r="H414" s="91"/>
    </row>
    <row r="415" spans="1:9" ht="60.75" thickBot="1" x14ac:dyDescent="0.3">
      <c r="A415" s="2" t="s">
        <v>11</v>
      </c>
      <c r="B415" s="6">
        <f>G415*77%</f>
        <v>83520.36</v>
      </c>
      <c r="C415" s="53" t="s">
        <v>8</v>
      </c>
      <c r="D415" s="41">
        <f>G415-B415</f>
        <v>24947.64</v>
      </c>
      <c r="E415" s="8" t="s">
        <v>8</v>
      </c>
      <c r="F415" s="8" t="s">
        <v>8</v>
      </c>
      <c r="G415" s="90">
        <f>109877-609-800</f>
        <v>108468</v>
      </c>
      <c r="H415" s="91"/>
    </row>
    <row r="416" spans="1:9" ht="30.75" thickBot="1" x14ac:dyDescent="0.3">
      <c r="A416" s="2" t="s">
        <v>12</v>
      </c>
      <c r="B416" s="6">
        <f>G416*77%</f>
        <v>3454.9900000000002</v>
      </c>
      <c r="C416" s="53" t="s">
        <v>8</v>
      </c>
      <c r="D416" s="41">
        <f>G416-B416</f>
        <v>1032.0099999999998</v>
      </c>
      <c r="E416" s="8" t="s">
        <v>8</v>
      </c>
      <c r="F416" s="8" t="s">
        <v>8</v>
      </c>
      <c r="G416" s="90">
        <f>1218+609+1860+800</f>
        <v>4487</v>
      </c>
      <c r="H416" s="91"/>
      <c r="I416" s="10">
        <f>G413+G415+G416</f>
        <v>323155</v>
      </c>
    </row>
    <row r="417" spans="1:11" ht="15.75" thickBot="1" x14ac:dyDescent="0.3">
      <c r="A417" s="2" t="s">
        <v>13</v>
      </c>
      <c r="B417" s="6">
        <f>G417*56%</f>
        <v>8811.0400000000009</v>
      </c>
      <c r="C417" s="53" t="s">
        <v>8</v>
      </c>
      <c r="D417" s="41">
        <f>G417-B417</f>
        <v>6922.9599999999991</v>
      </c>
      <c r="E417" s="8" t="s">
        <v>8</v>
      </c>
      <c r="F417" s="8" t="s">
        <v>8</v>
      </c>
      <c r="G417" s="90">
        <f>2119+13615</f>
        <v>15734</v>
      </c>
      <c r="H417" s="91"/>
    </row>
    <row r="418" spans="1:11" ht="30.75" thickBot="1" x14ac:dyDescent="0.3">
      <c r="A418" s="2" t="s">
        <v>14</v>
      </c>
      <c r="B418" s="6">
        <f>G418*56%</f>
        <v>8233.1200000000008</v>
      </c>
      <c r="C418" s="53" t="s">
        <v>8</v>
      </c>
      <c r="D418" s="41">
        <f>G418-B418</f>
        <v>6468.8799999999992</v>
      </c>
      <c r="E418" s="8" t="s">
        <v>8</v>
      </c>
      <c r="F418" s="8" t="s">
        <v>8</v>
      </c>
      <c r="G418" s="90">
        <f>1676+11782+1244</f>
        <v>14702</v>
      </c>
      <c r="H418" s="91"/>
      <c r="J418" s="10">
        <f>30437-G418-G417</f>
        <v>1</v>
      </c>
    </row>
    <row r="419" spans="1:11" ht="45.75" thickBot="1" x14ac:dyDescent="0.3">
      <c r="A419" s="2" t="s">
        <v>15</v>
      </c>
      <c r="B419" s="8" t="s">
        <v>8</v>
      </c>
      <c r="C419" s="8" t="s">
        <v>8</v>
      </c>
      <c r="D419" s="6"/>
      <c r="E419" s="8" t="s">
        <v>8</v>
      </c>
      <c r="F419" s="8" t="s">
        <v>8</v>
      </c>
      <c r="G419" s="90"/>
      <c r="H419" s="91"/>
    </row>
    <row r="420" spans="1:11" ht="15.75" thickBot="1" x14ac:dyDescent="0.3">
      <c r="A420" s="2" t="s">
        <v>16</v>
      </c>
      <c r="B420" s="8" t="s">
        <v>8</v>
      </c>
      <c r="C420" s="8" t="s">
        <v>8</v>
      </c>
      <c r="D420" s="8" t="s">
        <v>8</v>
      </c>
      <c r="E420" s="6">
        <v>120</v>
      </c>
      <c r="F420" s="6"/>
      <c r="G420" s="90">
        <v>120</v>
      </c>
      <c r="H420" s="91"/>
    </row>
    <row r="421" spans="1:11" ht="15.75" thickBot="1" x14ac:dyDescent="0.3">
      <c r="A421" s="3" t="s">
        <v>17</v>
      </c>
      <c r="B421" s="8" t="s">
        <v>8</v>
      </c>
      <c r="C421" s="8" t="s">
        <v>8</v>
      </c>
      <c r="D421" s="8" t="s">
        <v>8</v>
      </c>
      <c r="E421" s="6"/>
      <c r="F421" s="6"/>
      <c r="G421" s="90">
        <v>0</v>
      </c>
      <c r="H421" s="91"/>
    </row>
    <row r="422" spans="1:11" ht="15.75" thickBot="1" x14ac:dyDescent="0.3">
      <c r="A422" s="3" t="s">
        <v>18</v>
      </c>
      <c r="B422" s="8" t="s">
        <v>8</v>
      </c>
      <c r="C422" s="8" t="s">
        <v>8</v>
      </c>
      <c r="D422" s="8" t="s">
        <v>8</v>
      </c>
      <c r="E422" s="6"/>
      <c r="F422" s="6"/>
      <c r="G422" s="90"/>
      <c r="H422" s="91"/>
    </row>
    <row r="423" spans="1:11" ht="45.75" thickBot="1" x14ac:dyDescent="0.3">
      <c r="A423" s="2" t="s">
        <v>19</v>
      </c>
      <c r="B423" s="8" t="s">
        <v>8</v>
      </c>
      <c r="C423" s="8" t="s">
        <v>8</v>
      </c>
      <c r="D423" s="8" t="s">
        <v>8</v>
      </c>
      <c r="E423" s="6"/>
      <c r="F423" s="6"/>
      <c r="G423" s="94"/>
      <c r="H423" s="95"/>
      <c r="J423" s="10">
        <f>G417+G418+G420+G425+G426+I416+G424</f>
        <v>486987</v>
      </c>
    </row>
    <row r="424" spans="1:11" ht="30.75" thickBot="1" x14ac:dyDescent="0.3">
      <c r="A424" s="2" t="s">
        <v>20</v>
      </c>
      <c r="B424" s="8" t="s">
        <v>8</v>
      </c>
      <c r="C424" s="8" t="s">
        <v>8</v>
      </c>
      <c r="D424" s="8" t="s">
        <v>8</v>
      </c>
      <c r="E424" s="6">
        <v>38741</v>
      </c>
      <c r="F424" s="6"/>
      <c r="G424" s="90">
        <v>38741</v>
      </c>
      <c r="H424" s="91"/>
    </row>
    <row r="425" spans="1:11" ht="30.75" thickBot="1" x14ac:dyDescent="0.3">
      <c r="A425" s="2" t="s">
        <v>21</v>
      </c>
      <c r="B425" s="6">
        <f>G425*56%</f>
        <v>31484.880000000005</v>
      </c>
      <c r="C425" s="8" t="s">
        <v>8</v>
      </c>
      <c r="D425" s="41">
        <f>G425-B425</f>
        <v>24738.119999999995</v>
      </c>
      <c r="E425" s="8" t="s">
        <v>8</v>
      </c>
      <c r="F425" s="8" t="s">
        <v>8</v>
      </c>
      <c r="G425" s="90">
        <f>56143-120+142+58</f>
        <v>56223</v>
      </c>
      <c r="H425" s="91"/>
      <c r="J425" s="10">
        <f>G424-19406</f>
        <v>19335</v>
      </c>
    </row>
    <row r="426" spans="1:11" ht="15.75" thickBot="1" x14ac:dyDescent="0.3">
      <c r="A426" s="3" t="s">
        <v>22</v>
      </c>
      <c r="B426" s="6">
        <f>G426*56%</f>
        <v>21454.720000000001</v>
      </c>
      <c r="C426" s="8" t="s">
        <v>8</v>
      </c>
      <c r="D426" s="41">
        <f>G426-B426</f>
        <v>16857.28</v>
      </c>
      <c r="E426" s="8" t="s">
        <v>8</v>
      </c>
      <c r="F426" s="8" t="s">
        <v>8</v>
      </c>
      <c r="G426" s="90">
        <f>3879+18188+16245</f>
        <v>38312</v>
      </c>
      <c r="H426" s="91"/>
      <c r="J426" s="10">
        <f>320648-G429</f>
        <v>-166339</v>
      </c>
      <c r="K426" s="10">
        <f>J425+J429</f>
        <v>0</v>
      </c>
    </row>
    <row r="427" spans="1:11" ht="15.75" thickBot="1" x14ac:dyDescent="0.3">
      <c r="A427" s="3" t="s">
        <v>23</v>
      </c>
      <c r="B427" s="8" t="s">
        <v>8</v>
      </c>
      <c r="C427" s="8"/>
      <c r="D427" s="8" t="s">
        <v>8</v>
      </c>
      <c r="E427" s="8" t="s">
        <v>8</v>
      </c>
      <c r="F427" s="8" t="s">
        <v>8</v>
      </c>
      <c r="G427" s="94"/>
      <c r="H427" s="95"/>
    </row>
    <row r="428" spans="1:11" ht="15.75" thickBot="1" x14ac:dyDescent="0.3">
      <c r="A428" s="3" t="s">
        <v>24</v>
      </c>
      <c r="B428" s="6"/>
      <c r="C428" s="8" t="s">
        <v>8</v>
      </c>
      <c r="D428" s="6"/>
      <c r="E428" s="8" t="s">
        <v>8</v>
      </c>
      <c r="F428" s="8" t="s">
        <v>8</v>
      </c>
      <c r="G428" s="90"/>
      <c r="H428" s="91"/>
    </row>
    <row r="429" spans="1:11" ht="15.75" thickBot="1" x14ac:dyDescent="0.3">
      <c r="A429" s="4" t="s">
        <v>25</v>
      </c>
      <c r="B429" s="6">
        <f>SUM(B413:B428)</f>
        <v>318813.11</v>
      </c>
      <c r="C429" s="6"/>
      <c r="D429" s="6">
        <f>SUM(D413:D428)</f>
        <v>129312.88999999998</v>
      </c>
      <c r="E429" s="6">
        <f>SUM(E413:E428)</f>
        <v>38861</v>
      </c>
      <c r="F429" s="6"/>
      <c r="G429" s="90">
        <f>SUM(G413:H428)</f>
        <v>486987</v>
      </c>
      <c r="H429" s="91"/>
      <c r="J429" s="10">
        <f>467652-G429</f>
        <v>-19335</v>
      </c>
    </row>
    <row r="430" spans="1:11" x14ac:dyDescent="0.25">
      <c r="A430" s="129" t="s">
        <v>176</v>
      </c>
      <c r="B430" s="130"/>
      <c r="C430" s="130"/>
      <c r="D430" s="130"/>
      <c r="E430" s="130"/>
      <c r="F430" s="130"/>
      <c r="G430" s="130"/>
      <c r="H430" s="130"/>
      <c r="J430" s="10"/>
    </row>
    <row r="431" spans="1:11" x14ac:dyDescent="0.25">
      <c r="A431" s="131"/>
      <c r="B431" s="131"/>
      <c r="C431" s="131"/>
      <c r="D431" s="131"/>
      <c r="E431" s="131"/>
      <c r="F431" s="131"/>
      <c r="G431" s="131"/>
      <c r="H431" s="131"/>
      <c r="J431" s="10"/>
    </row>
    <row r="432" spans="1:11" ht="76.150000000000006" customHeight="1" thickBot="1" x14ac:dyDescent="0.3">
      <c r="A432" s="132"/>
      <c r="B432" s="132"/>
      <c r="C432" s="132"/>
      <c r="D432" s="132"/>
      <c r="E432" s="132"/>
      <c r="F432" s="132"/>
      <c r="G432" s="132"/>
      <c r="H432" s="132"/>
      <c r="J432" s="10"/>
    </row>
    <row r="433" spans="1:11" x14ac:dyDescent="0.25">
      <c r="B433" s="10" t="s">
        <v>163</v>
      </c>
      <c r="C433" s="10">
        <v>303545</v>
      </c>
      <c r="K433" s="10" t="e">
        <f>#REF!-244898</f>
        <v>#REF!</v>
      </c>
    </row>
    <row r="434" spans="1:11" x14ac:dyDescent="0.25">
      <c r="C434" s="10">
        <f>C433-B429</f>
        <v>-15268.109999999986</v>
      </c>
    </row>
    <row r="443" spans="1:11" s="32" customFormat="1" x14ac:dyDescent="0.25">
      <c r="B443" s="33"/>
      <c r="C443" s="33"/>
      <c r="D443" s="33"/>
      <c r="E443" s="33"/>
      <c r="F443" s="33"/>
      <c r="G443" s="33"/>
      <c r="H443" s="33"/>
    </row>
    <row r="444" spans="1:11" s="32" customFormat="1" x14ac:dyDescent="0.25">
      <c r="B444" s="33"/>
      <c r="C444" s="33"/>
      <c r="D444" s="33"/>
      <c r="E444" s="33"/>
      <c r="F444" s="33"/>
      <c r="G444" s="33"/>
      <c r="H444" s="33"/>
    </row>
    <row r="446" spans="1:11" ht="15" hidden="1" customHeight="1" x14ac:dyDescent="0.25">
      <c r="A446" s="42"/>
      <c r="B446" s="43"/>
      <c r="C446" s="43"/>
      <c r="D446" s="43"/>
      <c r="E446" s="112" t="s">
        <v>29</v>
      </c>
      <c r="F446" s="112"/>
      <c r="G446" s="112"/>
      <c r="H446" s="112"/>
    </row>
    <row r="447" spans="1:11" ht="15" hidden="1" customHeight="1" x14ac:dyDescent="0.25">
      <c r="A447" s="113"/>
      <c r="B447" s="114"/>
      <c r="C447" s="114"/>
      <c r="D447" s="115"/>
      <c r="E447" s="115" t="s">
        <v>0</v>
      </c>
      <c r="F447" s="115"/>
      <c r="G447" s="115"/>
      <c r="H447" s="115"/>
    </row>
    <row r="448" spans="1:11" ht="15" hidden="1" customHeight="1" x14ac:dyDescent="0.25">
      <c r="A448" s="113"/>
      <c r="B448" s="114"/>
      <c r="C448" s="114"/>
      <c r="D448" s="115"/>
      <c r="E448" s="128" t="s">
        <v>31</v>
      </c>
      <c r="F448" s="128"/>
      <c r="G448" s="128"/>
      <c r="H448" s="128"/>
    </row>
    <row r="449" spans="1:9" ht="15.75" hidden="1" customHeight="1" thickBot="1" x14ac:dyDescent="0.3">
      <c r="A449" s="98" t="s">
        <v>103</v>
      </c>
      <c r="B449" s="98"/>
      <c r="C449" s="98"/>
      <c r="D449" s="98"/>
      <c r="E449" s="98"/>
      <c r="F449" s="98"/>
      <c r="G449" s="98"/>
      <c r="H449" s="98"/>
    </row>
    <row r="450" spans="1:9" ht="15" hidden="1" customHeight="1" x14ac:dyDescent="0.25">
      <c r="A450" s="142" t="s">
        <v>2</v>
      </c>
      <c r="B450" s="103" t="s">
        <v>30</v>
      </c>
      <c r="C450" s="145"/>
      <c r="D450" s="145"/>
      <c r="E450" s="145"/>
      <c r="F450" s="146"/>
      <c r="G450" s="147" t="s">
        <v>3</v>
      </c>
      <c r="H450" s="148"/>
    </row>
    <row r="451" spans="1:9" ht="180.75" hidden="1" customHeight="1" thickBot="1" x14ac:dyDescent="0.3">
      <c r="A451" s="124"/>
      <c r="B451" s="149" t="s">
        <v>30</v>
      </c>
      <c r="C451" s="150"/>
      <c r="D451" s="15" t="s">
        <v>32</v>
      </c>
      <c r="E451" s="149" t="s">
        <v>4</v>
      </c>
      <c r="F451" s="150"/>
      <c r="G451" s="151"/>
      <c r="H451" s="152"/>
    </row>
    <row r="452" spans="1:9" ht="165.75" hidden="1" customHeight="1" thickBot="1" x14ac:dyDescent="0.3">
      <c r="A452" s="143"/>
      <c r="B452" s="14" t="s">
        <v>36</v>
      </c>
      <c r="C452" s="40" t="s">
        <v>5</v>
      </c>
      <c r="D452" s="15" t="s">
        <v>33</v>
      </c>
      <c r="E452" s="40" t="s">
        <v>34</v>
      </c>
      <c r="F452" s="7" t="s">
        <v>35</v>
      </c>
      <c r="G452" s="110"/>
      <c r="H452" s="111"/>
    </row>
    <row r="453" spans="1:9" ht="15.75" hidden="1" customHeight="1" thickBot="1" x14ac:dyDescent="0.3">
      <c r="A453" s="39">
        <v>1</v>
      </c>
      <c r="B453" s="7">
        <v>2</v>
      </c>
      <c r="C453" s="11">
        <v>3</v>
      </c>
      <c r="D453" s="7">
        <v>4</v>
      </c>
      <c r="E453" s="11">
        <v>5</v>
      </c>
      <c r="F453" s="7">
        <v>6</v>
      </c>
      <c r="G453" s="96" t="s">
        <v>6</v>
      </c>
      <c r="H453" s="97"/>
    </row>
    <row r="454" spans="1:9" ht="60.75" hidden="1" customHeight="1" thickBot="1" x14ac:dyDescent="0.3">
      <c r="A454" s="2" t="s">
        <v>7</v>
      </c>
      <c r="B454" s="6">
        <f>B455</f>
        <v>65030.35</v>
      </c>
      <c r="C454" s="12"/>
      <c r="D454" s="6">
        <f>D455</f>
        <v>19424.650000000001</v>
      </c>
      <c r="E454" s="8" t="s">
        <v>8</v>
      </c>
      <c r="F454" s="8" t="s">
        <v>8</v>
      </c>
      <c r="G454" s="90">
        <f>87470-1043-2039+67</f>
        <v>84455</v>
      </c>
      <c r="H454" s="91"/>
    </row>
    <row r="455" spans="1:9" ht="15.75" hidden="1" customHeight="1" thickBot="1" x14ac:dyDescent="0.3">
      <c r="A455" s="3" t="s">
        <v>9</v>
      </c>
      <c r="B455" s="6">
        <f>G455*77%</f>
        <v>65030.35</v>
      </c>
      <c r="C455" s="12"/>
      <c r="D455" s="41">
        <f>G455-B455</f>
        <v>19424.650000000001</v>
      </c>
      <c r="E455" s="8" t="s">
        <v>8</v>
      </c>
      <c r="F455" s="8" t="s">
        <v>8</v>
      </c>
      <c r="G455" s="90">
        <f>G454</f>
        <v>84455</v>
      </c>
      <c r="H455" s="91"/>
    </row>
    <row r="456" spans="1:9" ht="15.75" hidden="1" customHeight="1" thickBot="1" x14ac:dyDescent="0.3">
      <c r="A456" s="2" t="s">
        <v>10</v>
      </c>
      <c r="B456" s="6">
        <v>0</v>
      </c>
      <c r="C456" s="12"/>
      <c r="D456" s="6">
        <v>0</v>
      </c>
      <c r="E456" s="8" t="s">
        <v>8</v>
      </c>
      <c r="F456" s="8" t="s">
        <v>8</v>
      </c>
      <c r="G456" s="90">
        <v>0</v>
      </c>
      <c r="H456" s="91"/>
    </row>
    <row r="457" spans="1:9" ht="60.75" hidden="1" customHeight="1" thickBot="1" x14ac:dyDescent="0.3">
      <c r="A457" s="2" t="s">
        <v>11</v>
      </c>
      <c r="B457" s="6">
        <f t="shared" ref="B457" si="4">G457*77%</f>
        <v>29831.34</v>
      </c>
      <c r="C457" s="12"/>
      <c r="D457" s="41">
        <f>G457-B457</f>
        <v>8910.66</v>
      </c>
      <c r="E457" s="8" t="s">
        <v>8</v>
      </c>
      <c r="F457" s="8" t="s">
        <v>8</v>
      </c>
      <c r="G457" s="90">
        <f>39473-731</f>
        <v>38742</v>
      </c>
      <c r="H457" s="91"/>
    </row>
    <row r="458" spans="1:9" ht="30.75" hidden="1" customHeight="1" thickBot="1" x14ac:dyDescent="0.3">
      <c r="A458" s="2" t="s">
        <v>12</v>
      </c>
      <c r="B458" s="6">
        <f>G458*77%</f>
        <v>2936.01</v>
      </c>
      <c r="C458" s="12"/>
      <c r="D458" s="41">
        <f>G458-B458</f>
        <v>876.98999999999978</v>
      </c>
      <c r="E458" s="8" t="s">
        <v>8</v>
      </c>
      <c r="F458" s="8" t="s">
        <v>8</v>
      </c>
      <c r="G458" s="90">
        <f>3082+731</f>
        <v>3813</v>
      </c>
      <c r="H458" s="91"/>
      <c r="I458" s="10">
        <f>G455+G457+G458</f>
        <v>127010</v>
      </c>
    </row>
    <row r="459" spans="1:9" ht="15.75" hidden="1" customHeight="1" thickBot="1" x14ac:dyDescent="0.3">
      <c r="A459" s="2" t="s">
        <v>13</v>
      </c>
      <c r="B459" s="6">
        <f>G459*56%</f>
        <v>5639.2000000000007</v>
      </c>
      <c r="C459" s="6"/>
      <c r="D459" s="41">
        <f>G459-B459</f>
        <v>4430.7999999999993</v>
      </c>
      <c r="E459" s="8" t="s">
        <v>8</v>
      </c>
      <c r="F459" s="8" t="s">
        <v>8</v>
      </c>
      <c r="G459" s="90">
        <v>10070</v>
      </c>
      <c r="H459" s="91"/>
    </row>
    <row r="460" spans="1:9" ht="30.75" hidden="1" customHeight="1" thickBot="1" x14ac:dyDescent="0.3">
      <c r="A460" s="2" t="s">
        <v>14</v>
      </c>
      <c r="B460" s="6">
        <f>G460*56%</f>
        <v>3045.28</v>
      </c>
      <c r="C460" s="6"/>
      <c r="D460" s="41">
        <f>G460-B460</f>
        <v>2392.7199999999998</v>
      </c>
      <c r="E460" s="8" t="s">
        <v>8</v>
      </c>
      <c r="F460" s="8" t="s">
        <v>8</v>
      </c>
      <c r="G460" s="90">
        <f>3191+2247</f>
        <v>5438</v>
      </c>
      <c r="H460" s="91"/>
    </row>
    <row r="461" spans="1:9" ht="45.75" hidden="1" customHeight="1" thickBot="1" x14ac:dyDescent="0.3">
      <c r="A461" s="2" t="s">
        <v>15</v>
      </c>
      <c r="B461" s="8" t="s">
        <v>8</v>
      </c>
      <c r="C461" s="8" t="s">
        <v>8</v>
      </c>
      <c r="D461" s="6"/>
      <c r="E461" s="8" t="s">
        <v>8</v>
      </c>
      <c r="F461" s="8" t="s">
        <v>8</v>
      </c>
      <c r="G461" s="90"/>
      <c r="H461" s="91"/>
    </row>
    <row r="462" spans="1:9" ht="15.75" hidden="1" thickBot="1" x14ac:dyDescent="0.3">
      <c r="A462" s="2" t="s">
        <v>16</v>
      </c>
      <c r="B462" s="8" t="s">
        <v>8</v>
      </c>
      <c r="C462" s="8" t="s">
        <v>8</v>
      </c>
      <c r="D462" s="12"/>
      <c r="E462" s="6"/>
      <c r="F462" s="6"/>
      <c r="G462" s="90"/>
      <c r="H462" s="91"/>
    </row>
    <row r="463" spans="1:9" ht="15.75" hidden="1" thickBot="1" x14ac:dyDescent="0.3">
      <c r="A463" s="3" t="s">
        <v>17</v>
      </c>
      <c r="B463" s="6">
        <f>G463*56%</f>
        <v>0</v>
      </c>
      <c r="C463" s="8"/>
      <c r="D463" s="6"/>
      <c r="E463" s="6">
        <f>G463-B463</f>
        <v>0</v>
      </c>
      <c r="F463" s="6"/>
      <c r="G463" s="90">
        <v>0</v>
      </c>
      <c r="H463" s="91"/>
    </row>
    <row r="464" spans="1:9" ht="15.75" hidden="1" thickBot="1" x14ac:dyDescent="0.3">
      <c r="A464" s="3" t="s">
        <v>18</v>
      </c>
      <c r="B464" s="6"/>
      <c r="C464" s="8"/>
      <c r="D464" s="8"/>
      <c r="E464" s="6"/>
      <c r="F464" s="6"/>
      <c r="G464" s="90"/>
      <c r="H464" s="91"/>
    </row>
    <row r="465" spans="1:11" ht="45.75" hidden="1" thickBot="1" x14ac:dyDescent="0.3">
      <c r="A465" s="2" t="s">
        <v>19</v>
      </c>
      <c r="B465" s="6"/>
      <c r="C465" s="8"/>
      <c r="D465" s="6"/>
      <c r="E465" s="6"/>
      <c r="F465" s="6"/>
      <c r="G465" s="94"/>
      <c r="H465" s="95"/>
    </row>
    <row r="466" spans="1:11" ht="30.75" hidden="1" thickBot="1" x14ac:dyDescent="0.3">
      <c r="A466" s="2" t="s">
        <v>20</v>
      </c>
      <c r="B466" s="6"/>
      <c r="C466" s="8"/>
      <c r="D466" s="6"/>
      <c r="E466" s="6">
        <v>0</v>
      </c>
      <c r="F466" s="6"/>
      <c r="G466" s="90">
        <v>18954</v>
      </c>
      <c r="H466" s="91"/>
    </row>
    <row r="467" spans="1:11" ht="30.75" hidden="1" thickBot="1" x14ac:dyDescent="0.3">
      <c r="A467" s="2" t="s">
        <v>21</v>
      </c>
      <c r="B467" s="6">
        <f>G467*56%</f>
        <v>12274.080000000002</v>
      </c>
      <c r="C467" s="6"/>
      <c r="D467" s="26">
        <f>G467-B467</f>
        <v>9643.9199999999983</v>
      </c>
      <c r="E467" s="8" t="s">
        <v>8</v>
      </c>
      <c r="F467" s="8" t="s">
        <v>8</v>
      </c>
      <c r="G467" s="90">
        <f>21269+649</f>
        <v>21918</v>
      </c>
      <c r="H467" s="91"/>
    </row>
    <row r="468" spans="1:11" ht="15.75" hidden="1" thickBot="1" x14ac:dyDescent="0.3">
      <c r="A468" s="3" t="s">
        <v>22</v>
      </c>
      <c r="B468" s="6">
        <f>G468*56%</f>
        <v>15130.640000000001</v>
      </c>
      <c r="C468" s="6"/>
      <c r="D468" s="31">
        <f>G468-B468</f>
        <v>11888.359999999999</v>
      </c>
      <c r="E468" s="8" t="s">
        <v>8</v>
      </c>
      <c r="F468" s="8" t="s">
        <v>8</v>
      </c>
      <c r="G468" s="90">
        <f>8084+10+3605+15320</f>
        <v>27019</v>
      </c>
      <c r="H468" s="91"/>
    </row>
    <row r="469" spans="1:11" ht="15.75" hidden="1" thickBot="1" x14ac:dyDescent="0.3">
      <c r="A469" s="3" t="s">
        <v>23</v>
      </c>
      <c r="B469" s="8" t="s">
        <v>8</v>
      </c>
      <c r="C469" s="12"/>
      <c r="D469" s="8" t="s">
        <v>8</v>
      </c>
      <c r="E469" s="8" t="s">
        <v>8</v>
      </c>
      <c r="F469" s="8" t="s">
        <v>8</v>
      </c>
      <c r="G469" s="94"/>
      <c r="H469" s="95"/>
    </row>
    <row r="470" spans="1:11" ht="15.75" hidden="1" thickBot="1" x14ac:dyDescent="0.3">
      <c r="A470" s="3" t="s">
        <v>24</v>
      </c>
      <c r="B470" s="6"/>
      <c r="C470" s="6"/>
      <c r="D470" s="6"/>
      <c r="E470" s="8" t="s">
        <v>8</v>
      </c>
      <c r="F470" s="8" t="s">
        <v>8</v>
      </c>
      <c r="G470" s="90"/>
      <c r="H470" s="91"/>
    </row>
    <row r="471" spans="1:11" ht="15.75" hidden="1" thickBot="1" x14ac:dyDescent="0.3">
      <c r="A471" s="4" t="s">
        <v>25</v>
      </c>
      <c r="B471" s="6">
        <f>SUM(B455:B470)</f>
        <v>133886.9</v>
      </c>
      <c r="C471" s="6"/>
      <c r="D471" s="6">
        <f>SUM(D455:D470)</f>
        <v>57568.100000000006</v>
      </c>
      <c r="E471" s="6">
        <f>SUM(E455:E470)</f>
        <v>0</v>
      </c>
      <c r="F471" s="6"/>
      <c r="G471" s="90">
        <f>SUM(G455:H470)</f>
        <v>210409</v>
      </c>
      <c r="H471" s="91"/>
    </row>
    <row r="472" spans="1:11" hidden="1" x14ac:dyDescent="0.25">
      <c r="A472" s="92" t="s">
        <v>26</v>
      </c>
      <c r="B472" s="92"/>
      <c r="C472" s="92"/>
      <c r="D472" s="92"/>
      <c r="E472" s="92"/>
      <c r="F472" s="92"/>
      <c r="G472" s="92"/>
      <c r="H472" s="92"/>
    </row>
    <row r="473" spans="1:11" hidden="1" x14ac:dyDescent="0.25">
      <c r="A473" s="93" t="s">
        <v>27</v>
      </c>
      <c r="B473" s="93"/>
      <c r="C473" s="93"/>
      <c r="D473" s="93"/>
      <c r="E473" s="93"/>
      <c r="F473" s="93"/>
      <c r="G473" s="93"/>
      <c r="H473" s="93"/>
    </row>
    <row r="474" spans="1:11" hidden="1" x14ac:dyDescent="0.25">
      <c r="A474" s="93" t="s">
        <v>28</v>
      </c>
      <c r="B474" s="93"/>
      <c r="C474" s="93"/>
      <c r="D474" s="93"/>
      <c r="E474" s="93"/>
      <c r="F474" s="93"/>
      <c r="G474" s="93"/>
      <c r="H474" s="93"/>
      <c r="K474" s="10" t="e">
        <f>#REF!-#REF!</f>
        <v>#REF!</v>
      </c>
    </row>
    <row r="475" spans="1:11" hidden="1" x14ac:dyDescent="0.25">
      <c r="B475" s="10" t="s">
        <v>106</v>
      </c>
      <c r="C475" s="10">
        <v>124022</v>
      </c>
      <c r="K475" s="10" t="e">
        <f>K474-244898</f>
        <v>#REF!</v>
      </c>
    </row>
    <row r="476" spans="1:11" hidden="1" x14ac:dyDescent="0.25">
      <c r="C476" s="10">
        <f>C475-B471</f>
        <v>-9864.8999999999942</v>
      </c>
    </row>
    <row r="477" spans="1:11" hidden="1" x14ac:dyDescent="0.25"/>
    <row r="478" spans="1:11" hidden="1" x14ac:dyDescent="0.25"/>
    <row r="479" spans="1:11" hidden="1" x14ac:dyDescent="0.25"/>
    <row r="480" spans="1:11" hidden="1" x14ac:dyDescent="0.25">
      <c r="A480" s="22"/>
      <c r="B480" s="23"/>
      <c r="C480" s="23"/>
      <c r="D480" s="23"/>
      <c r="E480" s="112" t="s">
        <v>29</v>
      </c>
      <c r="F480" s="112"/>
      <c r="G480" s="112"/>
      <c r="H480" s="112"/>
    </row>
    <row r="481" spans="1:9" hidden="1" x14ac:dyDescent="0.25">
      <c r="A481" s="113"/>
      <c r="B481" s="114"/>
      <c r="C481" s="114"/>
      <c r="D481" s="115"/>
      <c r="E481" s="115" t="s">
        <v>0</v>
      </c>
      <c r="F481" s="115"/>
      <c r="G481" s="115"/>
      <c r="H481" s="115"/>
    </row>
    <row r="482" spans="1:9" hidden="1" x14ac:dyDescent="0.25">
      <c r="A482" s="113"/>
      <c r="B482" s="114"/>
      <c r="C482" s="114"/>
      <c r="D482" s="115"/>
      <c r="E482" s="128" t="s">
        <v>31</v>
      </c>
      <c r="F482" s="115"/>
      <c r="G482" s="115"/>
      <c r="H482" s="115"/>
    </row>
    <row r="483" spans="1:9" ht="15.75" hidden="1" thickBot="1" x14ac:dyDescent="0.3">
      <c r="A483" s="98" t="s">
        <v>104</v>
      </c>
      <c r="B483" s="98"/>
      <c r="C483" s="98"/>
      <c r="D483" s="98"/>
      <c r="E483" s="98"/>
      <c r="F483" s="98"/>
      <c r="G483" s="98"/>
      <c r="H483" s="98"/>
    </row>
    <row r="484" spans="1:9" hidden="1" x14ac:dyDescent="0.25">
      <c r="A484" s="100" t="s">
        <v>2</v>
      </c>
      <c r="B484" s="103" t="s">
        <v>30</v>
      </c>
      <c r="C484" s="104"/>
      <c r="D484" s="104"/>
      <c r="E484" s="104"/>
      <c r="F484" s="104"/>
      <c r="G484" s="105" t="s">
        <v>3</v>
      </c>
      <c r="H484" s="106"/>
    </row>
    <row r="485" spans="1:9" ht="135.75" hidden="1" thickBot="1" x14ac:dyDescent="0.3">
      <c r="A485" s="124"/>
      <c r="B485" s="105" t="s">
        <v>30</v>
      </c>
      <c r="C485" s="105"/>
      <c r="D485" s="15" t="s">
        <v>32</v>
      </c>
      <c r="E485" s="105" t="s">
        <v>4</v>
      </c>
      <c r="F485" s="105"/>
      <c r="G485" s="125"/>
      <c r="H485" s="109"/>
    </row>
    <row r="486" spans="1:9" ht="165.75" hidden="1" thickBot="1" x14ac:dyDescent="0.3">
      <c r="A486" s="102"/>
      <c r="B486" s="14" t="s">
        <v>36</v>
      </c>
      <c r="C486" s="25" t="s">
        <v>5</v>
      </c>
      <c r="D486" s="15" t="s">
        <v>33</v>
      </c>
      <c r="E486" s="25" t="s">
        <v>34</v>
      </c>
      <c r="F486" s="7" t="s">
        <v>35</v>
      </c>
      <c r="G486" s="110"/>
      <c r="H486" s="111"/>
    </row>
    <row r="487" spans="1:9" ht="15.75" hidden="1" thickBot="1" x14ac:dyDescent="0.3">
      <c r="A487" s="24">
        <v>1</v>
      </c>
      <c r="B487" s="7">
        <v>2</v>
      </c>
      <c r="C487" s="11">
        <v>3</v>
      </c>
      <c r="D487" s="7">
        <v>4</v>
      </c>
      <c r="E487" s="11">
        <v>5</v>
      </c>
      <c r="F487" s="7">
        <v>6</v>
      </c>
      <c r="G487" s="96" t="s">
        <v>6</v>
      </c>
      <c r="H487" s="97"/>
    </row>
    <row r="488" spans="1:9" ht="60.75" hidden="1" thickBot="1" x14ac:dyDescent="0.3">
      <c r="A488" s="2" t="s">
        <v>7</v>
      </c>
      <c r="B488" s="6">
        <f>B489</f>
        <v>72182.11</v>
      </c>
      <c r="C488" s="12"/>
      <c r="D488" s="6">
        <f>D489</f>
        <v>21560.89</v>
      </c>
      <c r="E488" s="8" t="s">
        <v>8</v>
      </c>
      <c r="F488" s="8" t="s">
        <v>8</v>
      </c>
      <c r="G488" s="90">
        <f>96927-1176-2074+66</f>
        <v>93743</v>
      </c>
      <c r="H488" s="91"/>
    </row>
    <row r="489" spans="1:9" ht="15.75" hidden="1" thickBot="1" x14ac:dyDescent="0.3">
      <c r="A489" s="3" t="s">
        <v>9</v>
      </c>
      <c r="B489" s="6">
        <f>G489*77%</f>
        <v>72182.11</v>
      </c>
      <c r="C489" s="12"/>
      <c r="D489" s="26">
        <f>G489-B489</f>
        <v>21560.89</v>
      </c>
      <c r="E489" s="8" t="s">
        <v>8</v>
      </c>
      <c r="F489" s="8" t="s">
        <v>8</v>
      </c>
      <c r="G489" s="90">
        <f>G488</f>
        <v>93743</v>
      </c>
      <c r="H489" s="91"/>
    </row>
    <row r="490" spans="1:9" ht="15.75" hidden="1" thickBot="1" x14ac:dyDescent="0.3">
      <c r="A490" s="2" t="s">
        <v>10</v>
      </c>
      <c r="B490" s="6">
        <v>0</v>
      </c>
      <c r="C490" s="12"/>
      <c r="D490" s="6">
        <v>0</v>
      </c>
      <c r="E490" s="8" t="s">
        <v>8</v>
      </c>
      <c r="F490" s="8" t="s">
        <v>8</v>
      </c>
      <c r="G490" s="90">
        <v>0</v>
      </c>
      <c r="H490" s="91"/>
    </row>
    <row r="491" spans="1:9" ht="60.75" hidden="1" thickBot="1" x14ac:dyDescent="0.3">
      <c r="A491" s="2" t="s">
        <v>11</v>
      </c>
      <c r="B491" s="6">
        <f t="shared" ref="B491" si="5">G491*77%</f>
        <v>34720.07</v>
      </c>
      <c r="C491" s="12"/>
      <c r="D491" s="26">
        <f>G491-B491</f>
        <v>10370.93</v>
      </c>
      <c r="E491" s="8" t="s">
        <v>8</v>
      </c>
      <c r="F491" s="8" t="s">
        <v>8</v>
      </c>
      <c r="G491" s="90">
        <f>45834-743</f>
        <v>45091</v>
      </c>
      <c r="H491" s="91"/>
    </row>
    <row r="492" spans="1:9" ht="30.75" hidden="1" thickBot="1" x14ac:dyDescent="0.3">
      <c r="A492" s="2" t="s">
        <v>12</v>
      </c>
      <c r="B492" s="6">
        <f>G492*77%</f>
        <v>3075.38</v>
      </c>
      <c r="C492" s="12"/>
      <c r="D492" s="26">
        <f>G492-B492</f>
        <v>918.61999999999989</v>
      </c>
      <c r="E492" s="8" t="s">
        <v>8</v>
      </c>
      <c r="F492" s="8" t="s">
        <v>8</v>
      </c>
      <c r="G492" s="90">
        <f>1176+2075+743</f>
        <v>3994</v>
      </c>
      <c r="H492" s="91"/>
      <c r="I492" s="10">
        <f>G489+G491+G492</f>
        <v>142828</v>
      </c>
    </row>
    <row r="493" spans="1:9" ht="15.75" hidden="1" thickBot="1" x14ac:dyDescent="0.3">
      <c r="A493" s="2" t="s">
        <v>13</v>
      </c>
      <c r="B493" s="6">
        <f>G493*56%</f>
        <v>7473.7600000000011</v>
      </c>
      <c r="C493" s="6"/>
      <c r="D493" s="26">
        <f>G493-B493</f>
        <v>5872.2399999999989</v>
      </c>
      <c r="E493" s="8" t="s">
        <v>8</v>
      </c>
      <c r="F493" s="8" t="s">
        <v>8</v>
      </c>
      <c r="G493" s="90">
        <v>13346</v>
      </c>
      <c r="H493" s="91"/>
    </row>
    <row r="494" spans="1:9" ht="30.75" hidden="1" thickBot="1" x14ac:dyDescent="0.3">
      <c r="A494" s="2" t="s">
        <v>14</v>
      </c>
      <c r="B494" s="6">
        <f>G494*56%</f>
        <v>3152.8</v>
      </c>
      <c r="C494" s="6"/>
      <c r="D494" s="26">
        <f>G494-B494</f>
        <v>2477.1999999999998</v>
      </c>
      <c r="E494" s="8" t="s">
        <v>8</v>
      </c>
      <c r="F494" s="8" t="s">
        <v>8</v>
      </c>
      <c r="G494" s="90">
        <f>3383+2247</f>
        <v>5630</v>
      </c>
      <c r="H494" s="91"/>
    </row>
    <row r="495" spans="1:9" ht="45.75" hidden="1" thickBot="1" x14ac:dyDescent="0.3">
      <c r="A495" s="2" t="s">
        <v>15</v>
      </c>
      <c r="B495" s="8" t="s">
        <v>8</v>
      </c>
      <c r="C495" s="8" t="s">
        <v>8</v>
      </c>
      <c r="D495" s="6"/>
      <c r="E495" s="8" t="s">
        <v>8</v>
      </c>
      <c r="F495" s="8" t="s">
        <v>8</v>
      </c>
      <c r="G495" s="90"/>
      <c r="H495" s="91"/>
    </row>
    <row r="496" spans="1:9" ht="15.75" hidden="1" thickBot="1" x14ac:dyDescent="0.3">
      <c r="A496" s="2" t="s">
        <v>16</v>
      </c>
      <c r="B496" s="8" t="s">
        <v>8</v>
      </c>
      <c r="C496" s="8" t="s">
        <v>8</v>
      </c>
      <c r="D496" s="12"/>
      <c r="E496" s="6"/>
      <c r="F496" s="6"/>
      <c r="G496" s="90"/>
      <c r="H496" s="91"/>
    </row>
    <row r="497" spans="1:11" ht="15.75" hidden="1" thickBot="1" x14ac:dyDescent="0.3">
      <c r="A497" s="3" t="s">
        <v>17</v>
      </c>
      <c r="B497" s="6">
        <f>G497*56%</f>
        <v>0</v>
      </c>
      <c r="C497" s="8"/>
      <c r="D497" s="6"/>
      <c r="E497" s="6">
        <f>G497-B497</f>
        <v>0</v>
      </c>
      <c r="F497" s="6"/>
      <c r="G497" s="90">
        <v>0</v>
      </c>
      <c r="H497" s="91"/>
    </row>
    <row r="498" spans="1:11" ht="15.75" hidden="1" thickBot="1" x14ac:dyDescent="0.3">
      <c r="A498" s="3" t="s">
        <v>18</v>
      </c>
      <c r="B498" s="6"/>
      <c r="C498" s="8"/>
      <c r="D498" s="8"/>
      <c r="E498" s="6"/>
      <c r="F498" s="6"/>
      <c r="G498" s="90"/>
      <c r="H498" s="91"/>
    </row>
    <row r="499" spans="1:11" ht="45.75" hidden="1" thickBot="1" x14ac:dyDescent="0.3">
      <c r="A499" s="2" t="s">
        <v>19</v>
      </c>
      <c r="B499" s="6"/>
      <c r="C499" s="8"/>
      <c r="D499" s="6"/>
      <c r="E499" s="6"/>
      <c r="F499" s="6"/>
      <c r="G499" s="94"/>
      <c r="H499" s="95"/>
    </row>
    <row r="500" spans="1:11" ht="30.75" hidden="1" thickBot="1" x14ac:dyDescent="0.3">
      <c r="A500" s="2" t="s">
        <v>20</v>
      </c>
      <c r="B500" s="6"/>
      <c r="C500" s="8"/>
      <c r="D500" s="6"/>
      <c r="E500" s="6">
        <v>0</v>
      </c>
      <c r="F500" s="6"/>
      <c r="G500" s="90">
        <v>22128</v>
      </c>
      <c r="H500" s="91"/>
    </row>
    <row r="501" spans="1:11" ht="30.75" hidden="1" thickBot="1" x14ac:dyDescent="0.3">
      <c r="A501" s="2" t="s">
        <v>21</v>
      </c>
      <c r="B501" s="6">
        <f>G501*56%</f>
        <v>12863.760000000002</v>
      </c>
      <c r="C501" s="6"/>
      <c r="D501" s="26">
        <f>G501-B501</f>
        <v>10107.239999999998</v>
      </c>
      <c r="E501" s="8" t="s">
        <v>8</v>
      </c>
      <c r="F501" s="8" t="s">
        <v>8</v>
      </c>
      <c r="G501" s="90">
        <f>22322+80+569</f>
        <v>22971</v>
      </c>
      <c r="H501" s="91"/>
    </row>
    <row r="502" spans="1:11" ht="15.75" hidden="1" thickBot="1" x14ac:dyDescent="0.3">
      <c r="A502" s="3" t="s">
        <v>22</v>
      </c>
      <c r="B502" s="6">
        <f>G502*56%</f>
        <v>16068.640000000001</v>
      </c>
      <c r="C502" s="6"/>
      <c r="D502" s="31">
        <f>G502-B502</f>
        <v>12625.359999999999</v>
      </c>
      <c r="E502" s="8" t="s">
        <v>8</v>
      </c>
      <c r="F502" s="8" t="s">
        <v>8</v>
      </c>
      <c r="G502" s="90">
        <f>9735+10+3629+15320</f>
        <v>28694</v>
      </c>
      <c r="H502" s="91"/>
    </row>
    <row r="503" spans="1:11" ht="15.75" hidden="1" thickBot="1" x14ac:dyDescent="0.3">
      <c r="A503" s="3" t="s">
        <v>23</v>
      </c>
      <c r="B503" s="8" t="s">
        <v>8</v>
      </c>
      <c r="C503" s="12"/>
      <c r="D503" s="8" t="s">
        <v>8</v>
      </c>
      <c r="E503" s="8" t="s">
        <v>8</v>
      </c>
      <c r="F503" s="8" t="s">
        <v>8</v>
      </c>
      <c r="G503" s="94"/>
      <c r="H503" s="95"/>
    </row>
    <row r="504" spans="1:11" ht="15.75" hidden="1" thickBot="1" x14ac:dyDescent="0.3">
      <c r="A504" s="3" t="s">
        <v>24</v>
      </c>
      <c r="B504" s="6"/>
      <c r="C504" s="6"/>
      <c r="D504" s="6"/>
      <c r="E504" s="8" t="s">
        <v>8</v>
      </c>
      <c r="F504" s="8" t="s">
        <v>8</v>
      </c>
      <c r="G504" s="90"/>
      <c r="H504" s="91"/>
    </row>
    <row r="505" spans="1:11" ht="15.75" hidden="1" thickBot="1" x14ac:dyDescent="0.3">
      <c r="A505" s="4" t="s">
        <v>25</v>
      </c>
      <c r="B505" s="6">
        <f>SUM(B489:B504)</f>
        <v>149536.52000000002</v>
      </c>
      <c r="C505" s="6"/>
      <c r="D505" s="6">
        <f>SUM(D489:D504)</f>
        <v>63932.479999999996</v>
      </c>
      <c r="E505" s="6">
        <f>SUM(E489:E504)</f>
        <v>0</v>
      </c>
      <c r="F505" s="6"/>
      <c r="G505" s="90">
        <f>SUM(G489:H504)</f>
        <v>235597</v>
      </c>
      <c r="H505" s="91"/>
    </row>
    <row r="506" spans="1:11" hidden="1" x14ac:dyDescent="0.25">
      <c r="A506" s="92" t="s">
        <v>26</v>
      </c>
      <c r="B506" s="92"/>
      <c r="C506" s="92"/>
      <c r="D506" s="92"/>
      <c r="E506" s="92"/>
      <c r="F506" s="92"/>
      <c r="G506" s="92"/>
      <c r="H506" s="92"/>
    </row>
    <row r="507" spans="1:11" hidden="1" x14ac:dyDescent="0.25">
      <c r="A507" s="93" t="s">
        <v>27</v>
      </c>
      <c r="B507" s="93"/>
      <c r="C507" s="93"/>
      <c r="D507" s="93"/>
      <c r="E507" s="93"/>
      <c r="F507" s="93"/>
      <c r="G507" s="93"/>
      <c r="H507" s="93"/>
    </row>
    <row r="508" spans="1:11" hidden="1" x14ac:dyDescent="0.25">
      <c r="A508" s="93" t="s">
        <v>28</v>
      </c>
      <c r="B508" s="93"/>
      <c r="C508" s="93"/>
      <c r="D508" s="93"/>
      <c r="E508" s="93"/>
      <c r="F508" s="93"/>
      <c r="G508" s="93"/>
      <c r="H508" s="93"/>
      <c r="K508" s="10" t="e">
        <f>#REF!-#REF!</f>
        <v>#REF!</v>
      </c>
    </row>
    <row r="509" spans="1:11" hidden="1" x14ac:dyDescent="0.25">
      <c r="B509" s="10" t="s">
        <v>105</v>
      </c>
      <c r="C509" s="10">
        <v>140012</v>
      </c>
      <c r="K509" s="10" t="e">
        <f>K508-244898</f>
        <v>#REF!</v>
      </c>
    </row>
    <row r="510" spans="1:11" hidden="1" x14ac:dyDescent="0.25">
      <c r="C510" s="10">
        <f>C509-B505</f>
        <v>-9524.5200000000186</v>
      </c>
    </row>
    <row r="511" spans="1:11" hidden="1" x14ac:dyDescent="0.25"/>
    <row r="512" spans="1:11" hidden="1" x14ac:dyDescent="0.25"/>
    <row r="513" spans="1:9" hidden="1" x14ac:dyDescent="0.25"/>
    <row r="514" spans="1:9" hidden="1" x14ac:dyDescent="0.25">
      <c r="A514" s="22"/>
      <c r="B514" s="23"/>
      <c r="C514" s="23"/>
      <c r="D514" s="23"/>
      <c r="E514" s="112" t="s">
        <v>29</v>
      </c>
      <c r="F514" s="112"/>
      <c r="G514" s="112"/>
      <c r="H514" s="112"/>
    </row>
    <row r="515" spans="1:9" hidden="1" x14ac:dyDescent="0.25">
      <c r="A515" s="113"/>
      <c r="B515" s="114"/>
      <c r="C515" s="114"/>
      <c r="D515" s="115"/>
      <c r="E515" s="115" t="s">
        <v>0</v>
      </c>
      <c r="F515" s="115"/>
      <c r="G515" s="115"/>
      <c r="H515" s="115"/>
    </row>
    <row r="516" spans="1:9" hidden="1" x14ac:dyDescent="0.25">
      <c r="A516" s="113"/>
      <c r="B516" s="114"/>
      <c r="C516" s="114"/>
      <c r="D516" s="115"/>
      <c r="E516" s="128" t="s">
        <v>31</v>
      </c>
      <c r="F516" s="115"/>
      <c r="G516" s="115"/>
      <c r="H516" s="115"/>
    </row>
    <row r="517" spans="1:9" ht="15.75" hidden="1" thickBot="1" x14ac:dyDescent="0.3">
      <c r="A517" s="98" t="s">
        <v>107</v>
      </c>
      <c r="B517" s="98"/>
      <c r="C517" s="98"/>
      <c r="D517" s="98"/>
      <c r="E517" s="98"/>
      <c r="F517" s="98"/>
      <c r="G517" s="98"/>
      <c r="H517" s="98"/>
    </row>
    <row r="518" spans="1:9" hidden="1" x14ac:dyDescent="0.25">
      <c r="A518" s="100" t="s">
        <v>2</v>
      </c>
      <c r="B518" s="103" t="s">
        <v>30</v>
      </c>
      <c r="C518" s="104"/>
      <c r="D518" s="104"/>
      <c r="E518" s="104"/>
      <c r="F518" s="104"/>
      <c r="G518" s="105" t="s">
        <v>3</v>
      </c>
      <c r="H518" s="106"/>
    </row>
    <row r="519" spans="1:9" ht="174" hidden="1" customHeight="1" thickBot="1" x14ac:dyDescent="0.3">
      <c r="A519" s="124"/>
      <c r="B519" s="105" t="s">
        <v>30</v>
      </c>
      <c r="C519" s="105"/>
      <c r="D519" s="15" t="s">
        <v>32</v>
      </c>
      <c r="E519" s="105" t="s">
        <v>4</v>
      </c>
      <c r="F519" s="105"/>
      <c r="G519" s="125"/>
      <c r="H519" s="109"/>
    </row>
    <row r="520" spans="1:9" ht="165.75" hidden="1" thickBot="1" x14ac:dyDescent="0.3">
      <c r="A520" s="102"/>
      <c r="B520" s="14" t="s">
        <v>36</v>
      </c>
      <c r="C520" s="25" t="s">
        <v>5</v>
      </c>
      <c r="D520" s="15" t="s">
        <v>33</v>
      </c>
      <c r="E520" s="25" t="s">
        <v>34</v>
      </c>
      <c r="F520" s="7" t="s">
        <v>35</v>
      </c>
      <c r="G520" s="110"/>
      <c r="H520" s="111"/>
    </row>
    <row r="521" spans="1:9" ht="15.75" hidden="1" thickBot="1" x14ac:dyDescent="0.3">
      <c r="A521" s="24">
        <v>1</v>
      </c>
      <c r="B521" s="7">
        <v>2</v>
      </c>
      <c r="C521" s="11">
        <v>3</v>
      </c>
      <c r="D521" s="7">
        <v>4</v>
      </c>
      <c r="E521" s="11">
        <v>5</v>
      </c>
      <c r="F521" s="7">
        <v>6</v>
      </c>
      <c r="G521" s="96" t="s">
        <v>6</v>
      </c>
      <c r="H521" s="97"/>
    </row>
    <row r="522" spans="1:9" ht="57.75" hidden="1" customHeight="1" thickBot="1" x14ac:dyDescent="0.3">
      <c r="A522" s="2" t="s">
        <v>7</v>
      </c>
      <c r="B522" s="6">
        <f>B523</f>
        <v>79884.42</v>
      </c>
      <c r="C522" s="12"/>
      <c r="D522" s="6">
        <f>D523</f>
        <v>23861.58</v>
      </c>
      <c r="E522" s="8" t="s">
        <v>8</v>
      </c>
      <c r="F522" s="8" t="s">
        <v>8</v>
      </c>
      <c r="G522" s="90">
        <f>106933-1179-2075+67</f>
        <v>103746</v>
      </c>
      <c r="H522" s="91"/>
    </row>
    <row r="523" spans="1:9" ht="15.75" hidden="1" thickBot="1" x14ac:dyDescent="0.3">
      <c r="A523" s="3" t="s">
        <v>9</v>
      </c>
      <c r="B523" s="6">
        <f>G523*77%</f>
        <v>79884.42</v>
      </c>
      <c r="C523" s="12"/>
      <c r="D523" s="26">
        <f>G523-B523</f>
        <v>23861.58</v>
      </c>
      <c r="E523" s="8" t="s">
        <v>8</v>
      </c>
      <c r="F523" s="8" t="s">
        <v>8</v>
      </c>
      <c r="G523" s="90">
        <f>G522</f>
        <v>103746</v>
      </c>
      <c r="H523" s="91"/>
    </row>
    <row r="524" spans="1:9" ht="15.75" hidden="1" thickBot="1" x14ac:dyDescent="0.3">
      <c r="A524" s="2" t="s">
        <v>10</v>
      </c>
      <c r="B524" s="6">
        <v>0</v>
      </c>
      <c r="C524" s="12"/>
      <c r="D524" s="6">
        <v>0</v>
      </c>
      <c r="E524" s="8" t="s">
        <v>8</v>
      </c>
      <c r="F524" s="8" t="s">
        <v>8</v>
      </c>
      <c r="G524" s="90">
        <v>0</v>
      </c>
      <c r="H524" s="91"/>
    </row>
    <row r="525" spans="1:9" ht="60.75" hidden="1" thickBot="1" x14ac:dyDescent="0.3">
      <c r="A525" s="2" t="s">
        <v>11</v>
      </c>
      <c r="B525" s="6">
        <f t="shared" ref="B525" si="6">G525*77%</f>
        <v>40209.4</v>
      </c>
      <c r="C525" s="12"/>
      <c r="D525" s="26">
        <f>G525-B525</f>
        <v>12010.599999999999</v>
      </c>
      <c r="E525" s="8" t="s">
        <v>8</v>
      </c>
      <c r="F525" s="8" t="s">
        <v>8</v>
      </c>
      <c r="G525" s="90">
        <f>52993-773</f>
        <v>52220</v>
      </c>
      <c r="H525" s="91"/>
    </row>
    <row r="526" spans="1:9" ht="30.75" hidden="1" thickBot="1" x14ac:dyDescent="0.3">
      <c r="A526" s="2" t="s">
        <v>12</v>
      </c>
      <c r="B526" s="6">
        <f>G526*77%</f>
        <v>3100.79</v>
      </c>
      <c r="C526" s="12"/>
      <c r="D526" s="26">
        <f>G526-B526</f>
        <v>926.21</v>
      </c>
      <c r="E526" s="8" t="s">
        <v>8</v>
      </c>
      <c r="F526" s="8" t="s">
        <v>8</v>
      </c>
      <c r="G526" s="90">
        <f>1179+2075+773</f>
        <v>4027</v>
      </c>
      <c r="H526" s="91"/>
      <c r="I526" s="10">
        <f>G523+G525+G526</f>
        <v>159993</v>
      </c>
    </row>
    <row r="527" spans="1:9" ht="15.75" hidden="1" thickBot="1" x14ac:dyDescent="0.3">
      <c r="A527" s="2" t="s">
        <v>13</v>
      </c>
      <c r="B527" s="6">
        <f>G527*56%</f>
        <v>8611.1200000000008</v>
      </c>
      <c r="C527" s="6"/>
      <c r="D527" s="26">
        <f>G527-B527</f>
        <v>6765.8799999999992</v>
      </c>
      <c r="E527" s="8" t="s">
        <v>8</v>
      </c>
      <c r="F527" s="8" t="s">
        <v>8</v>
      </c>
      <c r="G527" s="90">
        <v>15377</v>
      </c>
      <c r="H527" s="91"/>
    </row>
    <row r="528" spans="1:9" ht="30.75" hidden="1" thickBot="1" x14ac:dyDescent="0.3">
      <c r="A528" s="2" t="s">
        <v>14</v>
      </c>
      <c r="B528" s="6">
        <f>G528*56%</f>
        <v>3197.6000000000004</v>
      </c>
      <c r="C528" s="6"/>
      <c r="D528" s="26">
        <f>G528-B528</f>
        <v>2512.3999999999996</v>
      </c>
      <c r="E528" s="8" t="s">
        <v>8</v>
      </c>
      <c r="F528" s="8" t="s">
        <v>8</v>
      </c>
      <c r="G528" s="90">
        <f>3383+2327</f>
        <v>5710</v>
      </c>
      <c r="H528" s="91"/>
    </row>
    <row r="529" spans="1:11" ht="45.75" hidden="1" thickBot="1" x14ac:dyDescent="0.3">
      <c r="A529" s="2" t="s">
        <v>15</v>
      </c>
      <c r="B529" s="8" t="s">
        <v>8</v>
      </c>
      <c r="C529" s="8" t="s">
        <v>8</v>
      </c>
      <c r="D529" s="6"/>
      <c r="E529" s="8" t="s">
        <v>8</v>
      </c>
      <c r="F529" s="8" t="s">
        <v>8</v>
      </c>
      <c r="G529" s="90"/>
      <c r="H529" s="91"/>
    </row>
    <row r="530" spans="1:11" ht="15.75" hidden="1" thickBot="1" x14ac:dyDescent="0.3">
      <c r="A530" s="2" t="s">
        <v>16</v>
      </c>
      <c r="B530" s="8" t="s">
        <v>8</v>
      </c>
      <c r="C530" s="8" t="s">
        <v>8</v>
      </c>
      <c r="D530" s="12"/>
      <c r="E530" s="6"/>
      <c r="F530" s="6"/>
      <c r="G530" s="90"/>
      <c r="H530" s="91"/>
    </row>
    <row r="531" spans="1:11" ht="15.75" hidden="1" thickBot="1" x14ac:dyDescent="0.3">
      <c r="A531" s="3" t="s">
        <v>17</v>
      </c>
      <c r="B531" s="6">
        <f>G531*56%</f>
        <v>0</v>
      </c>
      <c r="C531" s="8"/>
      <c r="D531" s="6"/>
      <c r="E531" s="6">
        <f>G531-B531</f>
        <v>0</v>
      </c>
      <c r="F531" s="6"/>
      <c r="G531" s="90">
        <v>0</v>
      </c>
      <c r="H531" s="91"/>
    </row>
    <row r="532" spans="1:11" ht="15.75" hidden="1" thickBot="1" x14ac:dyDescent="0.3">
      <c r="A532" s="3" t="s">
        <v>18</v>
      </c>
      <c r="B532" s="6"/>
      <c r="C532" s="8"/>
      <c r="D532" s="8"/>
      <c r="E532" s="6"/>
      <c r="F532" s="6"/>
      <c r="G532" s="90"/>
      <c r="H532" s="91"/>
    </row>
    <row r="533" spans="1:11" ht="45.75" hidden="1" thickBot="1" x14ac:dyDescent="0.3">
      <c r="A533" s="2" t="s">
        <v>19</v>
      </c>
      <c r="B533" s="6"/>
      <c r="C533" s="8"/>
      <c r="D533" s="6"/>
      <c r="E533" s="6"/>
      <c r="F533" s="6"/>
      <c r="G533" s="94"/>
      <c r="H533" s="95"/>
    </row>
    <row r="534" spans="1:11" ht="30.75" hidden="1" thickBot="1" x14ac:dyDescent="0.3">
      <c r="A534" s="2" t="s">
        <v>20</v>
      </c>
      <c r="B534" s="6"/>
      <c r="C534" s="8"/>
      <c r="D534" s="6"/>
      <c r="E534" s="6">
        <v>0</v>
      </c>
      <c r="F534" s="6"/>
      <c r="G534" s="90">
        <v>25303</v>
      </c>
      <c r="H534" s="91"/>
    </row>
    <row r="535" spans="1:11" ht="30.75" hidden="1" thickBot="1" x14ac:dyDescent="0.3">
      <c r="A535" s="2" t="s">
        <v>21</v>
      </c>
      <c r="B535" s="6">
        <f>G535*56%</f>
        <v>14236.320000000002</v>
      </c>
      <c r="C535" s="6"/>
      <c r="D535" s="26">
        <f>G535-B535</f>
        <v>11185.679999999998</v>
      </c>
      <c r="E535" s="8" t="s">
        <v>8</v>
      </c>
      <c r="F535" s="8" t="s">
        <v>8</v>
      </c>
      <c r="G535" s="90">
        <f>24612+810</f>
        <v>25422</v>
      </c>
      <c r="H535" s="91"/>
    </row>
    <row r="536" spans="1:11" ht="15.75" hidden="1" thickBot="1" x14ac:dyDescent="0.3">
      <c r="A536" s="3" t="s">
        <v>22</v>
      </c>
      <c r="B536" s="6">
        <f>G536*56%</f>
        <v>17025.68</v>
      </c>
      <c r="C536" s="6"/>
      <c r="D536" s="31">
        <f>G536-B536</f>
        <v>13377.32</v>
      </c>
      <c r="E536" s="8" t="s">
        <v>8</v>
      </c>
      <c r="F536" s="8" t="s">
        <v>8</v>
      </c>
      <c r="G536" s="90">
        <f>15320+11424+10+3649</f>
        <v>30403</v>
      </c>
      <c r="H536" s="91"/>
    </row>
    <row r="537" spans="1:11" ht="15.75" hidden="1" thickBot="1" x14ac:dyDescent="0.3">
      <c r="A537" s="3" t="s">
        <v>23</v>
      </c>
      <c r="B537" s="8" t="s">
        <v>8</v>
      </c>
      <c r="C537" s="12"/>
      <c r="D537" s="8" t="s">
        <v>8</v>
      </c>
      <c r="E537" s="8" t="s">
        <v>8</v>
      </c>
      <c r="F537" s="8" t="s">
        <v>8</v>
      </c>
      <c r="G537" s="94"/>
      <c r="H537" s="95"/>
    </row>
    <row r="538" spans="1:11" ht="15.75" hidden="1" thickBot="1" x14ac:dyDescent="0.3">
      <c r="A538" s="3" t="s">
        <v>24</v>
      </c>
      <c r="B538" s="6"/>
      <c r="C538" s="6"/>
      <c r="D538" s="6"/>
      <c r="E538" s="8" t="s">
        <v>8</v>
      </c>
      <c r="F538" s="8" t="s">
        <v>8</v>
      </c>
      <c r="G538" s="90"/>
      <c r="H538" s="91"/>
    </row>
    <row r="539" spans="1:11" ht="15.75" hidden="1" thickBot="1" x14ac:dyDescent="0.3">
      <c r="A539" s="4" t="s">
        <v>25</v>
      </c>
      <c r="B539" s="6">
        <f>SUM(B523:B538)</f>
        <v>166265.33000000002</v>
      </c>
      <c r="C539" s="6"/>
      <c r="D539" s="6">
        <f>SUM(D523:D538)</f>
        <v>70639.67</v>
      </c>
      <c r="E539" s="6">
        <f>SUM(E523:E538)</f>
        <v>0</v>
      </c>
      <c r="F539" s="6"/>
      <c r="G539" s="90">
        <f>SUM(G523:H538)</f>
        <v>262208</v>
      </c>
      <c r="H539" s="91"/>
    </row>
    <row r="540" spans="1:11" hidden="1" x14ac:dyDescent="0.25">
      <c r="A540" s="92" t="s">
        <v>26</v>
      </c>
      <c r="B540" s="92"/>
      <c r="C540" s="92"/>
      <c r="D540" s="92"/>
      <c r="E540" s="92"/>
      <c r="F540" s="92"/>
      <c r="G540" s="92"/>
      <c r="H540" s="92"/>
    </row>
    <row r="541" spans="1:11" hidden="1" x14ac:dyDescent="0.25">
      <c r="A541" s="93" t="s">
        <v>27</v>
      </c>
      <c r="B541" s="93"/>
      <c r="C541" s="93"/>
      <c r="D541" s="93"/>
      <c r="E541" s="93"/>
      <c r="F541" s="93"/>
      <c r="G541" s="93"/>
      <c r="H541" s="93"/>
    </row>
    <row r="542" spans="1:11" hidden="1" x14ac:dyDescent="0.25">
      <c r="A542" s="93" t="s">
        <v>28</v>
      </c>
      <c r="B542" s="93"/>
      <c r="C542" s="93"/>
      <c r="D542" s="93"/>
      <c r="E542" s="93"/>
      <c r="F542" s="93"/>
      <c r="G542" s="93"/>
      <c r="H542" s="93"/>
      <c r="K542" s="10" t="e">
        <f>#REF!-#REF!</f>
        <v>#REF!</v>
      </c>
    </row>
    <row r="543" spans="1:11" hidden="1" x14ac:dyDescent="0.25">
      <c r="B543" s="10" t="s">
        <v>108</v>
      </c>
      <c r="C543" s="10">
        <v>157760</v>
      </c>
      <c r="K543" s="10" t="e">
        <f>K542-244898</f>
        <v>#REF!</v>
      </c>
    </row>
    <row r="544" spans="1:11" hidden="1" x14ac:dyDescent="0.25">
      <c r="C544" s="10">
        <f>C543-B539</f>
        <v>-8505.3300000000163</v>
      </c>
    </row>
    <row r="545" spans="1:8" hidden="1" x14ac:dyDescent="0.25"/>
    <row r="546" spans="1:8" hidden="1" x14ac:dyDescent="0.25"/>
    <row r="547" spans="1:8" hidden="1" x14ac:dyDescent="0.25"/>
    <row r="548" spans="1:8" hidden="1" x14ac:dyDescent="0.25"/>
    <row r="549" spans="1:8" hidden="1" x14ac:dyDescent="0.25"/>
    <row r="550" spans="1:8" hidden="1" x14ac:dyDescent="0.25"/>
    <row r="551" spans="1:8" hidden="1" x14ac:dyDescent="0.25"/>
    <row r="552" spans="1:8" hidden="1" x14ac:dyDescent="0.25"/>
    <row r="553" spans="1:8" hidden="1" x14ac:dyDescent="0.25"/>
    <row r="554" spans="1:8" hidden="1" x14ac:dyDescent="0.25"/>
    <row r="555" spans="1:8" hidden="1" x14ac:dyDescent="0.25"/>
    <row r="556" spans="1:8" hidden="1" x14ac:dyDescent="0.25">
      <c r="A556" s="22"/>
      <c r="B556" s="23"/>
      <c r="C556" s="23"/>
      <c r="D556" s="23"/>
      <c r="E556" s="112" t="s">
        <v>29</v>
      </c>
      <c r="F556" s="112"/>
      <c r="G556" s="112"/>
      <c r="H556" s="112"/>
    </row>
    <row r="557" spans="1:8" hidden="1" x14ac:dyDescent="0.25">
      <c r="A557" s="113"/>
      <c r="B557" s="114"/>
      <c r="C557" s="114"/>
      <c r="D557" s="115"/>
      <c r="E557" s="115" t="s">
        <v>0</v>
      </c>
      <c r="F557" s="115"/>
      <c r="G557" s="115"/>
      <c r="H557" s="115"/>
    </row>
    <row r="558" spans="1:8" hidden="1" x14ac:dyDescent="0.25">
      <c r="A558" s="113"/>
      <c r="B558" s="114"/>
      <c r="C558" s="114"/>
      <c r="D558" s="115"/>
      <c r="E558" s="126" t="s">
        <v>31</v>
      </c>
      <c r="F558" s="115"/>
      <c r="G558" s="115"/>
      <c r="H558" s="115"/>
    </row>
    <row r="559" spans="1:8" ht="15.75" hidden="1" thickBot="1" x14ac:dyDescent="0.3">
      <c r="A559" s="98" t="s">
        <v>38</v>
      </c>
      <c r="B559" s="98"/>
      <c r="C559" s="98"/>
      <c r="D559" s="98"/>
      <c r="E559" s="98"/>
      <c r="F559" s="98"/>
      <c r="G559" s="99"/>
      <c r="H559" s="99"/>
    </row>
    <row r="560" spans="1:8" hidden="1" x14ac:dyDescent="0.25">
      <c r="A560" s="100" t="s">
        <v>2</v>
      </c>
      <c r="B560" s="103" t="s">
        <v>30</v>
      </c>
      <c r="C560" s="104"/>
      <c r="D560" s="104"/>
      <c r="E560" s="104"/>
      <c r="F560" s="104"/>
      <c r="G560" s="105" t="s">
        <v>3</v>
      </c>
      <c r="H560" s="106"/>
    </row>
    <row r="561" spans="1:11" ht="135.75" hidden="1" thickBot="1" x14ac:dyDescent="0.3">
      <c r="A561" s="124"/>
      <c r="B561" s="105" t="s">
        <v>30</v>
      </c>
      <c r="C561" s="105"/>
      <c r="D561" s="15" t="s">
        <v>32</v>
      </c>
      <c r="E561" s="105" t="s">
        <v>4</v>
      </c>
      <c r="F561" s="105"/>
      <c r="G561" s="125"/>
      <c r="H561" s="109"/>
    </row>
    <row r="562" spans="1:11" ht="165.75" hidden="1" thickBot="1" x14ac:dyDescent="0.3">
      <c r="A562" s="102"/>
      <c r="B562" s="14" t="s">
        <v>36</v>
      </c>
      <c r="C562" s="25" t="s">
        <v>5</v>
      </c>
      <c r="D562" s="15" t="s">
        <v>33</v>
      </c>
      <c r="E562" s="25" t="s">
        <v>34</v>
      </c>
      <c r="F562" s="7" t="s">
        <v>35</v>
      </c>
      <c r="G562" s="110"/>
      <c r="H562" s="111"/>
    </row>
    <row r="563" spans="1:11" ht="15.75" hidden="1" thickBot="1" x14ac:dyDescent="0.3">
      <c r="A563" s="24">
        <v>1</v>
      </c>
      <c r="B563" s="7">
        <v>2</v>
      </c>
      <c r="C563" s="16">
        <v>3</v>
      </c>
      <c r="D563" s="25">
        <v>4</v>
      </c>
      <c r="E563" s="11">
        <v>5</v>
      </c>
      <c r="F563" s="7">
        <v>6</v>
      </c>
      <c r="G563" s="96" t="s">
        <v>37</v>
      </c>
      <c r="H563" s="97"/>
    </row>
    <row r="564" spans="1:11" ht="60.75" hidden="1" thickBot="1" x14ac:dyDescent="0.3">
      <c r="A564" s="2" t="s">
        <v>7</v>
      </c>
      <c r="B564" s="6">
        <f>B565</f>
        <v>56298.479999999996</v>
      </c>
      <c r="C564" s="12"/>
      <c r="D564" s="6">
        <f>D565</f>
        <v>60924.520000000004</v>
      </c>
      <c r="E564" s="8" t="s">
        <v>8</v>
      </c>
      <c r="F564" s="8" t="s">
        <v>8</v>
      </c>
      <c r="G564" s="90">
        <f>120510-1278-2075+66</f>
        <v>117223</v>
      </c>
      <c r="H564" s="91"/>
    </row>
    <row r="565" spans="1:11" ht="15.75" hidden="1" thickBot="1" x14ac:dyDescent="0.3">
      <c r="A565" s="3" t="s">
        <v>9</v>
      </c>
      <c r="B565" s="6">
        <f>G565*76%-32791</f>
        <v>56298.479999999996</v>
      </c>
      <c r="C565" s="12"/>
      <c r="D565" s="26">
        <f>G565-B565</f>
        <v>60924.520000000004</v>
      </c>
      <c r="E565" s="8" t="s">
        <v>8</v>
      </c>
      <c r="F565" s="8" t="s">
        <v>8</v>
      </c>
      <c r="G565" s="90">
        <f>G564</f>
        <v>117223</v>
      </c>
      <c r="H565" s="91"/>
    </row>
    <row r="566" spans="1:11" ht="15.75" hidden="1" thickBot="1" x14ac:dyDescent="0.3">
      <c r="A566" s="2" t="s">
        <v>10</v>
      </c>
      <c r="B566" s="6">
        <v>0</v>
      </c>
      <c r="C566" s="12"/>
      <c r="D566" s="6">
        <v>0</v>
      </c>
      <c r="E566" s="8" t="s">
        <v>8</v>
      </c>
      <c r="F566" s="8" t="s">
        <v>8</v>
      </c>
      <c r="G566" s="90">
        <v>0</v>
      </c>
      <c r="H566" s="91"/>
    </row>
    <row r="567" spans="1:11" ht="60.75" hidden="1" thickBot="1" x14ac:dyDescent="0.3">
      <c r="A567" s="2" t="s">
        <v>11</v>
      </c>
      <c r="B567" s="6">
        <f>G567*76%</f>
        <v>45329.440000000002</v>
      </c>
      <c r="C567" s="12"/>
      <c r="D567" s="26">
        <f>G567-B567</f>
        <v>14314.559999999998</v>
      </c>
      <c r="E567" s="8" t="s">
        <v>8</v>
      </c>
      <c r="F567" s="8" t="s">
        <v>8</v>
      </c>
      <c r="G567" s="90">
        <f>60472-828</f>
        <v>59644</v>
      </c>
      <c r="H567" s="91"/>
    </row>
    <row r="568" spans="1:11" ht="30.75" hidden="1" thickBot="1" x14ac:dyDescent="0.3">
      <c r="A568" s="2" t="s">
        <v>12</v>
      </c>
      <c r="B568" s="6">
        <f>G568*76%</f>
        <v>3177.56</v>
      </c>
      <c r="C568" s="12"/>
      <c r="D568" s="26">
        <f>G568-B568</f>
        <v>1003.44</v>
      </c>
      <c r="E568" s="8" t="s">
        <v>8</v>
      </c>
      <c r="F568" s="8" t="s">
        <v>8</v>
      </c>
      <c r="G568" s="90">
        <f>1278+2075+828</f>
        <v>4181</v>
      </c>
      <c r="H568" s="91"/>
    </row>
    <row r="569" spans="1:11" ht="15.75" hidden="1" thickBot="1" x14ac:dyDescent="0.3">
      <c r="A569" s="2" t="s">
        <v>13</v>
      </c>
      <c r="B569" s="6">
        <f>G569*56%</f>
        <v>8611.1200000000008</v>
      </c>
      <c r="C569" s="6"/>
      <c r="D569" s="26">
        <f>G569-B569</f>
        <v>6765.8799999999992</v>
      </c>
      <c r="E569" s="8" t="s">
        <v>8</v>
      </c>
      <c r="F569" s="8" t="s">
        <v>8</v>
      </c>
      <c r="G569" s="90">
        <v>15377</v>
      </c>
      <c r="H569" s="91"/>
    </row>
    <row r="570" spans="1:11" ht="30.75" hidden="1" thickBot="1" x14ac:dyDescent="0.3">
      <c r="A570" s="2" t="s">
        <v>14</v>
      </c>
      <c r="B570" s="6">
        <f>G570*56%</f>
        <v>4506.88</v>
      </c>
      <c r="C570" s="6"/>
      <c r="D570" s="26">
        <f>G570-B570</f>
        <v>3541.12</v>
      </c>
      <c r="E570" s="8" t="s">
        <v>8</v>
      </c>
      <c r="F570" s="8" t="s">
        <v>8</v>
      </c>
      <c r="G570" s="90">
        <f>4824+3224</f>
        <v>8048</v>
      </c>
      <c r="H570" s="91"/>
    </row>
    <row r="571" spans="1:11" ht="45.75" hidden="1" thickBot="1" x14ac:dyDescent="0.3">
      <c r="A571" s="2" t="s">
        <v>15</v>
      </c>
      <c r="B571" s="8" t="s">
        <v>8</v>
      </c>
      <c r="C571" s="8" t="s">
        <v>8</v>
      </c>
      <c r="D571" s="6"/>
      <c r="E571" s="8" t="s">
        <v>8</v>
      </c>
      <c r="F571" s="8" t="s">
        <v>8</v>
      </c>
      <c r="G571" s="90"/>
      <c r="H571" s="91"/>
    </row>
    <row r="572" spans="1:11" ht="15.75" hidden="1" thickBot="1" x14ac:dyDescent="0.3">
      <c r="A572" s="2" t="s">
        <v>16</v>
      </c>
      <c r="B572" s="8" t="s">
        <v>8</v>
      </c>
      <c r="C572" s="8" t="s">
        <v>8</v>
      </c>
      <c r="D572" s="12"/>
      <c r="E572" s="6">
        <v>0</v>
      </c>
      <c r="F572" s="6"/>
      <c r="G572" s="90">
        <v>0</v>
      </c>
      <c r="H572" s="91"/>
    </row>
    <row r="573" spans="1:11" ht="15.75" hidden="1" thickBot="1" x14ac:dyDescent="0.3">
      <c r="A573" s="3" t="s">
        <v>17</v>
      </c>
      <c r="B573" s="6">
        <f>G573*56%</f>
        <v>0</v>
      </c>
      <c r="C573" s="8"/>
      <c r="D573" s="6"/>
      <c r="E573" s="6">
        <f>G573-B573</f>
        <v>0</v>
      </c>
      <c r="F573" s="6"/>
      <c r="G573" s="90">
        <v>0</v>
      </c>
      <c r="H573" s="91"/>
      <c r="K573" s="10">
        <f>G677+G680+G681</f>
        <v>251785</v>
      </c>
    </row>
    <row r="574" spans="1:11" ht="15.75" hidden="1" thickBot="1" x14ac:dyDescent="0.3">
      <c r="A574" s="3" t="s">
        <v>18</v>
      </c>
      <c r="B574" s="6"/>
      <c r="C574" s="8"/>
      <c r="D574" s="8"/>
      <c r="E574" s="6"/>
      <c r="F574" s="6"/>
      <c r="G574" s="90"/>
      <c r="H574" s="91"/>
      <c r="K574" s="10">
        <f>251786-K573</f>
        <v>1</v>
      </c>
    </row>
    <row r="575" spans="1:11" ht="45.75" hidden="1" thickBot="1" x14ac:dyDescent="0.3">
      <c r="A575" s="2" t="s">
        <v>19</v>
      </c>
      <c r="B575" s="6"/>
      <c r="C575" s="8"/>
      <c r="D575" s="6"/>
      <c r="E575" s="6"/>
      <c r="F575" s="6"/>
      <c r="G575" s="94"/>
      <c r="H575" s="95"/>
    </row>
    <row r="576" spans="1:11" ht="30.75" hidden="1" thickBot="1" x14ac:dyDescent="0.3">
      <c r="A576" s="2" t="s">
        <v>20</v>
      </c>
      <c r="B576" s="6">
        <f>G576*56%</f>
        <v>15947.680000000002</v>
      </c>
      <c r="C576" s="8"/>
      <c r="D576" s="6"/>
      <c r="E576" s="6">
        <f>G576-B576</f>
        <v>12530.319999999998</v>
      </c>
      <c r="F576" s="6"/>
      <c r="G576" s="90">
        <v>28478</v>
      </c>
      <c r="H576" s="91"/>
    </row>
    <row r="577" spans="1:10" ht="30.75" hidden="1" thickBot="1" x14ac:dyDescent="0.3">
      <c r="A577" s="2" t="s">
        <v>21</v>
      </c>
      <c r="B577" s="6">
        <f>G577*56%</f>
        <v>14820.400000000001</v>
      </c>
      <c r="C577" s="6"/>
      <c r="D577" s="26">
        <f>G577-B577</f>
        <v>11644.599999999999</v>
      </c>
      <c r="E577" s="8" t="s">
        <v>8</v>
      </c>
      <c r="F577" s="8" t="s">
        <v>8</v>
      </c>
      <c r="G577" s="90">
        <f>25189+241+1035</f>
        <v>26465</v>
      </c>
      <c r="H577" s="91"/>
    </row>
    <row r="578" spans="1:10" ht="15.75" hidden="1" thickBot="1" x14ac:dyDescent="0.3">
      <c r="A578" s="3" t="s">
        <v>22</v>
      </c>
      <c r="B578" s="6">
        <f>G578*56%</f>
        <v>18046.560000000001</v>
      </c>
      <c r="C578" s="6"/>
      <c r="D578" s="31">
        <f>G578-B578</f>
        <v>14179.439999999999</v>
      </c>
      <c r="E578" s="8" t="s">
        <v>8</v>
      </c>
      <c r="F578" s="8" t="s">
        <v>8</v>
      </c>
      <c r="G578" s="90">
        <f>128+13098+10+3670+15320</f>
        <v>32226</v>
      </c>
      <c r="H578" s="91"/>
    </row>
    <row r="579" spans="1:10" ht="15.75" hidden="1" thickBot="1" x14ac:dyDescent="0.3">
      <c r="A579" s="3" t="s">
        <v>23</v>
      </c>
      <c r="B579" s="8" t="s">
        <v>8</v>
      </c>
      <c r="C579" s="12"/>
      <c r="D579" s="8" t="s">
        <v>8</v>
      </c>
      <c r="E579" s="8" t="s">
        <v>8</v>
      </c>
      <c r="F579" s="8" t="s">
        <v>8</v>
      </c>
      <c r="G579" s="94"/>
      <c r="H579" s="95"/>
    </row>
    <row r="580" spans="1:10" ht="15.75" hidden="1" thickBot="1" x14ac:dyDescent="0.3">
      <c r="A580" s="3" t="s">
        <v>24</v>
      </c>
      <c r="B580" s="6">
        <f>G580*56%</f>
        <v>0</v>
      </c>
      <c r="C580" s="6"/>
      <c r="D580" s="6"/>
      <c r="E580" s="8" t="s">
        <v>8</v>
      </c>
      <c r="F580" s="8" t="s">
        <v>8</v>
      </c>
      <c r="G580" s="90"/>
      <c r="H580" s="91"/>
    </row>
    <row r="581" spans="1:10" ht="15.75" hidden="1" thickBot="1" x14ac:dyDescent="0.3">
      <c r="A581" s="4" t="s">
        <v>25</v>
      </c>
      <c r="B581" s="6">
        <f>SUM(B565:B580)</f>
        <v>166738.12</v>
      </c>
      <c r="C581" s="6"/>
      <c r="D581" s="6">
        <f>SUM(D565:D580)</f>
        <v>112373.56</v>
      </c>
      <c r="E581" s="6">
        <f>SUM(E565:E580)</f>
        <v>12530.319999999998</v>
      </c>
      <c r="F581" s="6"/>
      <c r="G581" s="90">
        <f>SUM(G565:H580)</f>
        <v>291642</v>
      </c>
      <c r="H581" s="91"/>
      <c r="J581" s="10">
        <f>291642-G581</f>
        <v>0</v>
      </c>
    </row>
    <row r="582" spans="1:10" hidden="1" x14ac:dyDescent="0.25">
      <c r="A582" s="92" t="s">
        <v>26</v>
      </c>
      <c r="B582" s="92"/>
      <c r="C582" s="92"/>
      <c r="D582" s="92"/>
      <c r="E582" s="92"/>
      <c r="F582" s="92"/>
      <c r="G582" s="92"/>
      <c r="H582" s="92"/>
    </row>
    <row r="583" spans="1:10" hidden="1" x14ac:dyDescent="0.25">
      <c r="A583" s="93" t="s">
        <v>27</v>
      </c>
      <c r="B583" s="93"/>
      <c r="C583" s="93"/>
      <c r="D583" s="93"/>
      <c r="E583" s="93"/>
      <c r="F583" s="93"/>
      <c r="G583" s="93"/>
      <c r="H583" s="93"/>
    </row>
    <row r="584" spans="1:10" ht="17.25" hidden="1" customHeight="1" x14ac:dyDescent="0.25">
      <c r="A584" s="93" t="s">
        <v>28</v>
      </c>
      <c r="B584" s="93"/>
      <c r="C584" s="93"/>
      <c r="D584" s="93"/>
      <c r="E584" s="93"/>
      <c r="F584" s="93"/>
      <c r="G584" s="93"/>
      <c r="H584" s="93"/>
    </row>
    <row r="585" spans="1:10" ht="12.75" hidden="1" customHeight="1" x14ac:dyDescent="0.25">
      <c r="A585" s="1"/>
      <c r="B585" s="9"/>
      <c r="C585" s="9"/>
      <c r="D585" s="9"/>
      <c r="E585" s="9"/>
      <c r="F585" s="9"/>
      <c r="G585" s="9"/>
      <c r="H585" s="9"/>
    </row>
    <row r="586" spans="1:10" ht="27.75" hidden="1" customHeight="1" x14ac:dyDescent="0.25">
      <c r="A586" s="5"/>
      <c r="B586" s="13" t="s">
        <v>109</v>
      </c>
      <c r="C586" s="13">
        <v>173415</v>
      </c>
    </row>
    <row r="587" spans="1:10" hidden="1" x14ac:dyDescent="0.25">
      <c r="C587" s="10">
        <f>C586-B581</f>
        <v>6676.8800000000047</v>
      </c>
    </row>
    <row r="588" spans="1:10" hidden="1" x14ac:dyDescent="0.25">
      <c r="C588"/>
      <c r="D588"/>
      <c r="E588"/>
      <c r="F588"/>
      <c r="G588"/>
      <c r="H588"/>
    </row>
    <row r="589" spans="1:10" hidden="1" x14ac:dyDescent="0.25">
      <c r="C589"/>
      <c r="D589"/>
      <c r="E589"/>
      <c r="F589"/>
      <c r="G589"/>
      <c r="H589"/>
    </row>
    <row r="590" spans="1:10" hidden="1" x14ac:dyDescent="0.25">
      <c r="C590"/>
      <c r="D590"/>
      <c r="E590"/>
      <c r="F590"/>
      <c r="G590"/>
      <c r="H590"/>
    </row>
    <row r="591" spans="1:10" hidden="1" x14ac:dyDescent="0.25">
      <c r="A591" s="22"/>
      <c r="B591" s="23"/>
      <c r="C591" s="23"/>
      <c r="D591" s="23"/>
      <c r="E591" s="112" t="s">
        <v>29</v>
      </c>
      <c r="F591" s="112"/>
      <c r="G591" s="112"/>
      <c r="H591" s="112"/>
    </row>
    <row r="592" spans="1:10" hidden="1" x14ac:dyDescent="0.25">
      <c r="A592" s="113"/>
      <c r="B592" s="114"/>
      <c r="C592" s="114"/>
      <c r="D592" s="115"/>
      <c r="E592" s="115" t="s">
        <v>0</v>
      </c>
      <c r="F592" s="115"/>
      <c r="G592" s="115"/>
      <c r="H592" s="115"/>
    </row>
    <row r="593" spans="1:11" hidden="1" x14ac:dyDescent="0.25">
      <c r="A593" s="113"/>
      <c r="B593" s="114"/>
      <c r="C593" s="114"/>
      <c r="D593" s="115"/>
      <c r="E593" s="126" t="s">
        <v>31</v>
      </c>
      <c r="F593" s="115"/>
      <c r="G593" s="115"/>
      <c r="H593" s="115"/>
    </row>
    <row r="594" spans="1:11" ht="15.75" hidden="1" thickBot="1" x14ac:dyDescent="0.3">
      <c r="A594" s="98" t="s">
        <v>79</v>
      </c>
      <c r="B594" s="98"/>
      <c r="C594" s="98"/>
      <c r="D594" s="98"/>
      <c r="E594" s="98"/>
      <c r="F594" s="98"/>
      <c r="G594" s="99"/>
      <c r="H594" s="99"/>
    </row>
    <row r="595" spans="1:11" hidden="1" x14ac:dyDescent="0.25">
      <c r="A595" s="100" t="s">
        <v>2</v>
      </c>
      <c r="B595" s="103" t="s">
        <v>30</v>
      </c>
      <c r="C595" s="104"/>
      <c r="D595" s="104"/>
      <c r="E595" s="104"/>
      <c r="F595" s="104"/>
      <c r="G595" s="105" t="s">
        <v>3</v>
      </c>
      <c r="H595" s="106"/>
    </row>
    <row r="596" spans="1:11" ht="135.75" hidden="1" thickBot="1" x14ac:dyDescent="0.3">
      <c r="A596" s="124"/>
      <c r="B596" s="105" t="s">
        <v>30</v>
      </c>
      <c r="C596" s="105"/>
      <c r="D596" s="15" t="s">
        <v>32</v>
      </c>
      <c r="E596" s="105" t="s">
        <v>4</v>
      </c>
      <c r="F596" s="105"/>
      <c r="G596" s="125"/>
      <c r="H596" s="109"/>
    </row>
    <row r="597" spans="1:11" ht="165.75" hidden="1" thickBot="1" x14ac:dyDescent="0.3">
      <c r="A597" s="102"/>
      <c r="B597" s="14" t="s">
        <v>36</v>
      </c>
      <c r="C597" s="25" t="s">
        <v>5</v>
      </c>
      <c r="D597" s="15" t="s">
        <v>33</v>
      </c>
      <c r="E597" s="25" t="s">
        <v>34</v>
      </c>
      <c r="F597" s="7" t="s">
        <v>35</v>
      </c>
      <c r="G597" s="110"/>
      <c r="H597" s="111"/>
    </row>
    <row r="598" spans="1:11" ht="15.75" hidden="1" thickBot="1" x14ac:dyDescent="0.3">
      <c r="A598" s="24">
        <v>1</v>
      </c>
      <c r="B598" s="7">
        <v>2</v>
      </c>
      <c r="C598" s="16">
        <v>3</v>
      </c>
      <c r="D598" s="25">
        <v>4</v>
      </c>
      <c r="E598" s="11">
        <v>5</v>
      </c>
      <c r="F598" s="7">
        <v>6</v>
      </c>
      <c r="G598" s="96" t="s">
        <v>37</v>
      </c>
      <c r="H598" s="97"/>
    </row>
    <row r="599" spans="1:11" ht="60.75" hidden="1" thickBot="1" x14ac:dyDescent="0.3">
      <c r="A599" s="2" t="s">
        <v>7</v>
      </c>
      <c r="B599" s="6">
        <f>B600</f>
        <v>68760.2</v>
      </c>
      <c r="C599" s="12"/>
      <c r="D599" s="6">
        <f>D600</f>
        <v>64859.8</v>
      </c>
      <c r="E599" s="8" t="s">
        <v>8</v>
      </c>
      <c r="F599" s="8" t="s">
        <v>8</v>
      </c>
      <c r="G599" s="90">
        <f>137021-1392-2075+66</f>
        <v>133620</v>
      </c>
      <c r="H599" s="91"/>
    </row>
    <row r="600" spans="1:11" ht="15.75" hidden="1" thickBot="1" x14ac:dyDescent="0.3">
      <c r="A600" s="3" t="s">
        <v>9</v>
      </c>
      <c r="B600" s="6">
        <f>G600*76%-32791</f>
        <v>68760.2</v>
      </c>
      <c r="C600" s="12"/>
      <c r="D600" s="26">
        <f>G600-B600</f>
        <v>64859.8</v>
      </c>
      <c r="E600" s="8" t="s">
        <v>8</v>
      </c>
      <c r="F600" s="8" t="s">
        <v>8</v>
      </c>
      <c r="G600" s="90">
        <f>G599</f>
        <v>133620</v>
      </c>
      <c r="H600" s="91"/>
    </row>
    <row r="601" spans="1:11" ht="15.75" hidden="1" thickBot="1" x14ac:dyDescent="0.3">
      <c r="A601" s="2" t="s">
        <v>10</v>
      </c>
      <c r="B601" s="6">
        <v>0</v>
      </c>
      <c r="C601" s="12"/>
      <c r="D601" s="6">
        <v>0</v>
      </c>
      <c r="E601" s="8" t="s">
        <v>8</v>
      </c>
      <c r="F601" s="8" t="s">
        <v>8</v>
      </c>
      <c r="G601" s="90">
        <v>0</v>
      </c>
      <c r="H601" s="91"/>
    </row>
    <row r="602" spans="1:11" ht="60.75" hidden="1" thickBot="1" x14ac:dyDescent="0.3">
      <c r="A602" s="2" t="s">
        <v>11</v>
      </c>
      <c r="B602" s="6">
        <f>G602*76%</f>
        <v>50893.4</v>
      </c>
      <c r="C602" s="12"/>
      <c r="D602" s="26">
        <f>G602-B602</f>
        <v>16071.599999999999</v>
      </c>
      <c r="E602" s="8" t="s">
        <v>8</v>
      </c>
      <c r="F602" s="8" t="s">
        <v>8</v>
      </c>
      <c r="G602" s="90">
        <f>67848-883</f>
        <v>66965</v>
      </c>
      <c r="H602" s="91"/>
    </row>
    <row r="603" spans="1:11" ht="30.75" hidden="1" thickBot="1" x14ac:dyDescent="0.3">
      <c r="A603" s="2" t="s">
        <v>12</v>
      </c>
      <c r="B603" s="6">
        <f>G603*76%</f>
        <v>3306</v>
      </c>
      <c r="C603" s="12"/>
      <c r="D603" s="26">
        <f>G603-B603</f>
        <v>1044</v>
      </c>
      <c r="E603" s="8" t="s">
        <v>8</v>
      </c>
      <c r="F603" s="8" t="s">
        <v>8</v>
      </c>
      <c r="G603" s="90">
        <f>883+1392+2075</f>
        <v>4350</v>
      </c>
      <c r="H603" s="91"/>
    </row>
    <row r="604" spans="1:11" ht="15.75" hidden="1" thickBot="1" x14ac:dyDescent="0.3">
      <c r="A604" s="2" t="s">
        <v>13</v>
      </c>
      <c r="B604" s="6">
        <f>G604*56%</f>
        <v>9776.4800000000014</v>
      </c>
      <c r="C604" s="6"/>
      <c r="D604" s="26">
        <f>G604-B604</f>
        <v>7681.5199999999986</v>
      </c>
      <c r="E604" s="8" t="s">
        <v>8</v>
      </c>
      <c r="F604" s="8" t="s">
        <v>8</v>
      </c>
      <c r="G604" s="90">
        <v>17458</v>
      </c>
      <c r="H604" s="91"/>
    </row>
    <row r="605" spans="1:11" ht="30.75" hidden="1" thickBot="1" x14ac:dyDescent="0.3">
      <c r="A605" s="2" t="s">
        <v>14</v>
      </c>
      <c r="B605" s="6">
        <f>G605*56%</f>
        <v>4672.6400000000003</v>
      </c>
      <c r="C605" s="6"/>
      <c r="D605" s="26">
        <f>G605-B605</f>
        <v>3671.3599999999997</v>
      </c>
      <c r="E605" s="8" t="s">
        <v>8</v>
      </c>
      <c r="F605" s="8" t="s">
        <v>8</v>
      </c>
      <c r="G605" s="90">
        <f>5027+3317</f>
        <v>8344</v>
      </c>
      <c r="H605" s="91"/>
      <c r="I605" s="10">
        <f>G602+G603+G600</f>
        <v>204935</v>
      </c>
    </row>
    <row r="606" spans="1:11" ht="45.75" hidden="1" thickBot="1" x14ac:dyDescent="0.3">
      <c r="A606" s="2" t="s">
        <v>15</v>
      </c>
      <c r="B606" s="8" t="s">
        <v>8</v>
      </c>
      <c r="C606" s="8" t="s">
        <v>8</v>
      </c>
      <c r="D606" s="6"/>
      <c r="E606" s="8" t="s">
        <v>8</v>
      </c>
      <c r="F606" s="8" t="s">
        <v>8</v>
      </c>
      <c r="G606" s="90"/>
      <c r="H606" s="91"/>
    </row>
    <row r="607" spans="1:11" ht="15.75" hidden="1" thickBot="1" x14ac:dyDescent="0.3">
      <c r="A607" s="2" t="s">
        <v>16</v>
      </c>
      <c r="B607" s="8" t="s">
        <v>8</v>
      </c>
      <c r="C607" s="8" t="s">
        <v>8</v>
      </c>
      <c r="D607" s="12"/>
      <c r="E607" s="6">
        <v>0</v>
      </c>
      <c r="F607" s="6"/>
      <c r="G607" s="90">
        <v>0</v>
      </c>
      <c r="H607" s="91"/>
    </row>
    <row r="608" spans="1:11" ht="15.75" hidden="1" thickBot="1" x14ac:dyDescent="0.3">
      <c r="A608" s="3" t="s">
        <v>17</v>
      </c>
      <c r="B608" s="6">
        <f>G608*56%</f>
        <v>0</v>
      </c>
      <c r="C608" s="8"/>
      <c r="D608" s="6"/>
      <c r="E608" s="6">
        <f>G608-B608</f>
        <v>0</v>
      </c>
      <c r="F608" s="6"/>
      <c r="G608" s="90">
        <v>0</v>
      </c>
      <c r="H608" s="91"/>
      <c r="K608" s="10" t="e">
        <f>#REF!+#REF!+#REF!</f>
        <v>#REF!</v>
      </c>
    </row>
    <row r="609" spans="1:11" ht="15.75" hidden="1" thickBot="1" x14ac:dyDescent="0.3">
      <c r="A609" s="3" t="s">
        <v>18</v>
      </c>
      <c r="B609" s="6"/>
      <c r="C609" s="8"/>
      <c r="D609" s="8"/>
      <c r="E609" s="6"/>
      <c r="F609" s="6"/>
      <c r="G609" s="90"/>
      <c r="H609" s="91"/>
      <c r="K609" s="10" t="e">
        <f>251786-K608</f>
        <v>#REF!</v>
      </c>
    </row>
    <row r="610" spans="1:11" ht="45.75" hidden="1" thickBot="1" x14ac:dyDescent="0.3">
      <c r="A610" s="2" t="s">
        <v>19</v>
      </c>
      <c r="B610" s="6"/>
      <c r="C610" s="8"/>
      <c r="D610" s="6"/>
      <c r="E610" s="6"/>
      <c r="F610" s="6"/>
      <c r="G610" s="94"/>
      <c r="H610" s="95"/>
    </row>
    <row r="611" spans="1:11" ht="30.75" hidden="1" thickBot="1" x14ac:dyDescent="0.3">
      <c r="A611" s="2" t="s">
        <v>20</v>
      </c>
      <c r="B611" s="6">
        <f>G611*56%</f>
        <v>17736.88</v>
      </c>
      <c r="C611" s="8"/>
      <c r="D611" s="6"/>
      <c r="E611" s="6">
        <f>G611-B611</f>
        <v>13936.119999999999</v>
      </c>
      <c r="F611" s="6"/>
      <c r="G611" s="90">
        <v>31673</v>
      </c>
      <c r="H611" s="91"/>
    </row>
    <row r="612" spans="1:11" ht="30.75" hidden="1" thickBot="1" x14ac:dyDescent="0.3">
      <c r="A612" s="2" t="s">
        <v>21</v>
      </c>
      <c r="B612" s="6">
        <f>G612*56%</f>
        <v>16354.800000000001</v>
      </c>
      <c r="C612" s="6"/>
      <c r="D612" s="26">
        <f>G612-B612</f>
        <v>12850.199999999999</v>
      </c>
      <c r="E612" s="8" t="s">
        <v>8</v>
      </c>
      <c r="F612" s="8" t="s">
        <v>8</v>
      </c>
      <c r="G612" s="90">
        <f>27713+241+1251</f>
        <v>29205</v>
      </c>
      <c r="H612" s="91"/>
    </row>
    <row r="613" spans="1:11" ht="15.75" hidden="1" thickBot="1" x14ac:dyDescent="0.3">
      <c r="A613" s="3" t="s">
        <v>22</v>
      </c>
      <c r="B613" s="6">
        <f>G613*56%</f>
        <v>18949.280000000002</v>
      </c>
      <c r="C613" s="6"/>
      <c r="D613" s="31">
        <f>G613-B613</f>
        <v>14888.719999999998</v>
      </c>
      <c r="E613" s="8" t="s">
        <v>8</v>
      </c>
      <c r="F613" s="8" t="s">
        <v>8</v>
      </c>
      <c r="G613" s="90">
        <f>128+14704+10+3676+15320</f>
        <v>33838</v>
      </c>
      <c r="H613" s="91"/>
    </row>
    <row r="614" spans="1:11" ht="15.75" hidden="1" thickBot="1" x14ac:dyDescent="0.3">
      <c r="A614" s="3" t="s">
        <v>23</v>
      </c>
      <c r="B614" s="8" t="s">
        <v>8</v>
      </c>
      <c r="C614" s="12"/>
      <c r="D614" s="8" t="s">
        <v>8</v>
      </c>
      <c r="E614" s="8" t="s">
        <v>8</v>
      </c>
      <c r="F614" s="8" t="s">
        <v>8</v>
      </c>
      <c r="G614" s="94"/>
      <c r="H614" s="95"/>
    </row>
    <row r="615" spans="1:11" ht="15.75" hidden="1" thickBot="1" x14ac:dyDescent="0.3">
      <c r="A615" s="3" t="s">
        <v>24</v>
      </c>
      <c r="B615" s="6">
        <f>G615*56%</f>
        <v>0</v>
      </c>
      <c r="C615" s="6"/>
      <c r="D615" s="6"/>
      <c r="E615" s="8" t="s">
        <v>8</v>
      </c>
      <c r="F615" s="8" t="s">
        <v>8</v>
      </c>
      <c r="G615" s="90"/>
      <c r="H615" s="91"/>
    </row>
    <row r="616" spans="1:11" ht="15.75" hidden="1" thickBot="1" x14ac:dyDescent="0.3">
      <c r="A616" s="4" t="s">
        <v>25</v>
      </c>
      <c r="B616" s="6">
        <f>SUM(B600:B615)</f>
        <v>190449.68000000002</v>
      </c>
      <c r="C616" s="6"/>
      <c r="D616" s="6">
        <f>SUM(D600:D615)</f>
        <v>121067.2</v>
      </c>
      <c r="E616" s="6">
        <f>SUM(E600:E615)</f>
        <v>13936.119999999999</v>
      </c>
      <c r="F616" s="6"/>
      <c r="G616" s="90">
        <f>SUM(G600:H615)</f>
        <v>325453</v>
      </c>
      <c r="H616" s="91"/>
      <c r="J616" s="10">
        <f>325453-G616</f>
        <v>0</v>
      </c>
    </row>
    <row r="617" spans="1:11" hidden="1" x14ac:dyDescent="0.25">
      <c r="A617" s="92" t="s">
        <v>26</v>
      </c>
      <c r="B617" s="92"/>
      <c r="C617" s="92"/>
      <c r="D617" s="92"/>
      <c r="E617" s="92"/>
      <c r="F617" s="92"/>
      <c r="G617" s="92"/>
      <c r="H617" s="92"/>
    </row>
    <row r="618" spans="1:11" hidden="1" x14ac:dyDescent="0.25">
      <c r="A618" s="93" t="s">
        <v>27</v>
      </c>
      <c r="B618" s="93"/>
      <c r="C618" s="93"/>
      <c r="D618" s="93"/>
      <c r="E618" s="93"/>
      <c r="F618" s="93"/>
      <c r="G618" s="93"/>
      <c r="H618" s="93"/>
    </row>
    <row r="619" spans="1:11" ht="17.25" hidden="1" customHeight="1" x14ac:dyDescent="0.25">
      <c r="A619" s="93" t="s">
        <v>28</v>
      </c>
      <c r="B619" s="93"/>
      <c r="C619" s="93"/>
      <c r="D619" s="93"/>
      <c r="E619" s="93"/>
      <c r="F619" s="93"/>
      <c r="G619" s="93"/>
      <c r="H619" s="93"/>
    </row>
    <row r="620" spans="1:11" ht="12.75" hidden="1" customHeight="1" x14ac:dyDescent="0.25">
      <c r="A620" s="1"/>
      <c r="B620" s="9"/>
      <c r="C620" s="9"/>
      <c r="D620" s="9"/>
      <c r="E620" s="9"/>
      <c r="F620" s="9"/>
      <c r="G620" s="9"/>
      <c r="H620" s="9"/>
    </row>
    <row r="621" spans="1:11" ht="27.75" hidden="1" customHeight="1" x14ac:dyDescent="0.25">
      <c r="A621" s="5"/>
      <c r="B621" s="13" t="s">
        <v>110</v>
      </c>
      <c r="C621" s="13">
        <v>193708</v>
      </c>
    </row>
    <row r="622" spans="1:11" hidden="1" x14ac:dyDescent="0.25">
      <c r="C622" s="10">
        <f>C621-B616</f>
        <v>3258.3199999999779</v>
      </c>
    </row>
    <row r="623" spans="1:11" hidden="1" x14ac:dyDescent="0.25">
      <c r="C623"/>
      <c r="D623"/>
      <c r="E623"/>
      <c r="F623"/>
      <c r="G623"/>
      <c r="H623"/>
    </row>
    <row r="624" spans="1:11" hidden="1" x14ac:dyDescent="0.25">
      <c r="C624"/>
      <c r="D624"/>
      <c r="E624"/>
      <c r="F624"/>
      <c r="G624"/>
      <c r="H624"/>
    </row>
    <row r="625" spans="1:8" hidden="1" x14ac:dyDescent="0.25">
      <c r="C625"/>
      <c r="D625"/>
      <c r="E625"/>
      <c r="F625"/>
      <c r="G625"/>
      <c r="H625"/>
    </row>
    <row r="626" spans="1:8" hidden="1" x14ac:dyDescent="0.25">
      <c r="C626"/>
      <c r="D626"/>
      <c r="E626"/>
      <c r="F626"/>
      <c r="G626"/>
      <c r="H626"/>
    </row>
    <row r="627" spans="1:8" hidden="1" x14ac:dyDescent="0.25">
      <c r="A627" s="22"/>
      <c r="B627" s="23"/>
      <c r="C627" s="23"/>
      <c r="D627" s="23"/>
      <c r="E627" s="112" t="s">
        <v>29</v>
      </c>
      <c r="F627" s="112"/>
      <c r="G627" s="112"/>
      <c r="H627" s="112"/>
    </row>
    <row r="628" spans="1:8" hidden="1" x14ac:dyDescent="0.25">
      <c r="A628" s="113"/>
      <c r="B628" s="114"/>
      <c r="C628" s="114"/>
      <c r="D628" s="115"/>
      <c r="E628" s="115" t="s">
        <v>0</v>
      </c>
      <c r="F628" s="115"/>
      <c r="G628" s="115"/>
      <c r="H628" s="115"/>
    </row>
    <row r="629" spans="1:8" hidden="1" x14ac:dyDescent="0.25">
      <c r="A629" s="113"/>
      <c r="B629" s="114"/>
      <c r="C629" s="114"/>
      <c r="D629" s="115"/>
      <c r="E629" s="126" t="s">
        <v>31</v>
      </c>
      <c r="F629" s="115"/>
      <c r="G629" s="115"/>
      <c r="H629" s="115"/>
    </row>
    <row r="630" spans="1:8" ht="15.75" hidden="1" thickBot="1" x14ac:dyDescent="0.3">
      <c r="A630" s="98" t="s">
        <v>81</v>
      </c>
      <c r="B630" s="98"/>
      <c r="C630" s="98"/>
      <c r="D630" s="98"/>
      <c r="E630" s="98"/>
      <c r="F630" s="98"/>
      <c r="G630" s="99"/>
      <c r="H630" s="99"/>
    </row>
    <row r="631" spans="1:8" hidden="1" x14ac:dyDescent="0.25">
      <c r="A631" s="100" t="s">
        <v>2</v>
      </c>
      <c r="B631" s="103" t="s">
        <v>30</v>
      </c>
      <c r="C631" s="104"/>
      <c r="D631" s="104"/>
      <c r="E631" s="104"/>
      <c r="F631" s="104"/>
      <c r="G631" s="105" t="s">
        <v>3</v>
      </c>
      <c r="H631" s="106"/>
    </row>
    <row r="632" spans="1:8" ht="135.75" hidden="1" thickBot="1" x14ac:dyDescent="0.3">
      <c r="A632" s="124"/>
      <c r="B632" s="105" t="s">
        <v>30</v>
      </c>
      <c r="C632" s="105"/>
      <c r="D632" s="15" t="s">
        <v>32</v>
      </c>
      <c r="E632" s="105" t="s">
        <v>4</v>
      </c>
      <c r="F632" s="105"/>
      <c r="G632" s="125"/>
      <c r="H632" s="109"/>
    </row>
    <row r="633" spans="1:8" ht="165.75" hidden="1" thickBot="1" x14ac:dyDescent="0.3">
      <c r="A633" s="102"/>
      <c r="B633" s="14" t="s">
        <v>36</v>
      </c>
      <c r="C633" s="25" t="s">
        <v>5</v>
      </c>
      <c r="D633" s="15" t="s">
        <v>33</v>
      </c>
      <c r="E633" s="25" t="s">
        <v>34</v>
      </c>
      <c r="F633" s="7" t="s">
        <v>35</v>
      </c>
      <c r="G633" s="110"/>
      <c r="H633" s="111"/>
    </row>
    <row r="634" spans="1:8" ht="15.75" hidden="1" thickBot="1" x14ac:dyDescent="0.3">
      <c r="A634" s="24">
        <v>1</v>
      </c>
      <c r="B634" s="7">
        <v>2</v>
      </c>
      <c r="C634" s="16">
        <v>3</v>
      </c>
      <c r="D634" s="25">
        <v>4</v>
      </c>
      <c r="E634" s="11">
        <v>5</v>
      </c>
      <c r="F634" s="7">
        <v>6</v>
      </c>
      <c r="G634" s="96" t="s">
        <v>37</v>
      </c>
      <c r="H634" s="97"/>
    </row>
    <row r="635" spans="1:8" ht="60.75" hidden="1" thickBot="1" x14ac:dyDescent="0.3">
      <c r="A635" s="2" t="s">
        <v>7</v>
      </c>
      <c r="B635" s="6">
        <f>B636</f>
        <v>81250.8</v>
      </c>
      <c r="C635" s="12"/>
      <c r="D635" s="6">
        <f>D636</f>
        <v>68804.2</v>
      </c>
      <c r="E635" s="8" t="s">
        <v>8</v>
      </c>
      <c r="F635" s="8" t="s">
        <v>8</v>
      </c>
      <c r="G635" s="90">
        <f>153571-1508-2075+67</f>
        <v>150055</v>
      </c>
      <c r="H635" s="91"/>
    </row>
    <row r="636" spans="1:8" ht="15.75" hidden="1" thickBot="1" x14ac:dyDescent="0.3">
      <c r="A636" s="3" t="s">
        <v>9</v>
      </c>
      <c r="B636" s="6">
        <f>G636*76%-32791</f>
        <v>81250.8</v>
      </c>
      <c r="C636" s="12"/>
      <c r="D636" s="26">
        <f>G636-B636</f>
        <v>68804.2</v>
      </c>
      <c r="E636" s="8" t="s">
        <v>8</v>
      </c>
      <c r="F636" s="8" t="s">
        <v>8</v>
      </c>
      <c r="G636" s="90">
        <f>G635</f>
        <v>150055</v>
      </c>
      <c r="H636" s="91"/>
    </row>
    <row r="637" spans="1:8" ht="15.75" hidden="1" thickBot="1" x14ac:dyDescent="0.3">
      <c r="A637" s="2" t="s">
        <v>10</v>
      </c>
      <c r="B637" s="6">
        <v>0</v>
      </c>
      <c r="C637" s="12"/>
      <c r="D637" s="6">
        <v>0</v>
      </c>
      <c r="E637" s="8" t="s">
        <v>8</v>
      </c>
      <c r="F637" s="8" t="s">
        <v>8</v>
      </c>
      <c r="G637" s="90">
        <v>0</v>
      </c>
      <c r="H637" s="91"/>
    </row>
    <row r="638" spans="1:8" ht="60.75" hidden="1" thickBot="1" x14ac:dyDescent="0.3">
      <c r="A638" s="2" t="s">
        <v>11</v>
      </c>
      <c r="B638" s="6">
        <f>G638*76%</f>
        <v>56205.04</v>
      </c>
      <c r="C638" s="12"/>
      <c r="D638" s="26">
        <f>G638-B638</f>
        <v>17748.96</v>
      </c>
      <c r="E638" s="8" t="s">
        <v>8</v>
      </c>
      <c r="F638" s="8" t="s">
        <v>8</v>
      </c>
      <c r="G638" s="90">
        <f>74894-940</f>
        <v>73954</v>
      </c>
      <c r="H638" s="91"/>
    </row>
    <row r="639" spans="1:8" ht="30.75" hidden="1" thickBot="1" x14ac:dyDescent="0.3">
      <c r="A639" s="2" t="s">
        <v>12</v>
      </c>
      <c r="B639" s="6">
        <f>G639*76%</f>
        <v>3437.48</v>
      </c>
      <c r="C639" s="12"/>
      <c r="D639" s="26">
        <f>G639-B639</f>
        <v>1085.52</v>
      </c>
      <c r="E639" s="8" t="s">
        <v>8</v>
      </c>
      <c r="F639" s="8" t="s">
        <v>8</v>
      </c>
      <c r="G639" s="90">
        <f>940+1508+2075</f>
        <v>4523</v>
      </c>
      <c r="H639" s="91"/>
    </row>
    <row r="640" spans="1:8" ht="15.75" hidden="1" thickBot="1" x14ac:dyDescent="0.3">
      <c r="A640" s="2" t="s">
        <v>13</v>
      </c>
      <c r="B640" s="6">
        <f>G640*56%</f>
        <v>9776.4800000000014</v>
      </c>
      <c r="C640" s="6"/>
      <c r="D640" s="26">
        <f>G640-B640</f>
        <v>7681.5199999999986</v>
      </c>
      <c r="E640" s="8" t="s">
        <v>8</v>
      </c>
      <c r="F640" s="8" t="s">
        <v>8</v>
      </c>
      <c r="G640" s="90">
        <v>17458</v>
      </c>
      <c r="H640" s="91"/>
    </row>
    <row r="641" spans="1:11" ht="30.75" hidden="1" thickBot="1" x14ac:dyDescent="0.3">
      <c r="A641" s="2" t="s">
        <v>14</v>
      </c>
      <c r="B641" s="6">
        <f>G641*56%</f>
        <v>6305.6</v>
      </c>
      <c r="C641" s="6"/>
      <c r="D641" s="26">
        <f>G641-B641</f>
        <v>4954.3999999999996</v>
      </c>
      <c r="E641" s="8" t="s">
        <v>8</v>
      </c>
      <c r="F641" s="8" t="s">
        <v>8</v>
      </c>
      <c r="G641" s="90">
        <f>7793+3467</f>
        <v>11260</v>
      </c>
      <c r="H641" s="91"/>
      <c r="I641" s="10">
        <f>G638+G639+G636</f>
        <v>228532</v>
      </c>
    </row>
    <row r="642" spans="1:11" ht="45.75" hidden="1" thickBot="1" x14ac:dyDescent="0.3">
      <c r="A642" s="2" t="s">
        <v>15</v>
      </c>
      <c r="B642" s="8" t="s">
        <v>8</v>
      </c>
      <c r="C642" s="8" t="s">
        <v>8</v>
      </c>
      <c r="D642" s="6"/>
      <c r="E642" s="8" t="s">
        <v>8</v>
      </c>
      <c r="F642" s="8" t="s">
        <v>8</v>
      </c>
      <c r="G642" s="90"/>
      <c r="H642" s="91"/>
    </row>
    <row r="643" spans="1:11" ht="15.75" hidden="1" thickBot="1" x14ac:dyDescent="0.3">
      <c r="A643" s="2" t="s">
        <v>16</v>
      </c>
      <c r="B643" s="8" t="s">
        <v>8</v>
      </c>
      <c r="C643" s="8" t="s">
        <v>8</v>
      </c>
      <c r="D643" s="12"/>
      <c r="E643" s="6">
        <v>0</v>
      </c>
      <c r="F643" s="6"/>
      <c r="G643" s="90">
        <v>0</v>
      </c>
      <c r="H643" s="91"/>
    </row>
    <row r="644" spans="1:11" ht="15.75" hidden="1" thickBot="1" x14ac:dyDescent="0.3">
      <c r="A644" s="3" t="s">
        <v>17</v>
      </c>
      <c r="B644" s="6">
        <f>G644*56%</f>
        <v>0</v>
      </c>
      <c r="C644" s="8"/>
      <c r="D644" s="6"/>
      <c r="E644" s="6">
        <f>G644-B644</f>
        <v>0</v>
      </c>
      <c r="F644" s="6"/>
      <c r="G644" s="90">
        <v>0</v>
      </c>
      <c r="H644" s="91"/>
      <c r="K644" s="10" t="e">
        <f>#REF!+#REF!+#REF!</f>
        <v>#REF!</v>
      </c>
    </row>
    <row r="645" spans="1:11" ht="15.75" hidden="1" thickBot="1" x14ac:dyDescent="0.3">
      <c r="A645" s="3" t="s">
        <v>18</v>
      </c>
      <c r="B645" s="6"/>
      <c r="C645" s="8"/>
      <c r="D645" s="8"/>
      <c r="E645" s="6"/>
      <c r="F645" s="6"/>
      <c r="G645" s="90"/>
      <c r="H645" s="91"/>
      <c r="K645" s="10" t="e">
        <f>251786-K644</f>
        <v>#REF!</v>
      </c>
    </row>
    <row r="646" spans="1:11" ht="45.75" hidden="1" thickBot="1" x14ac:dyDescent="0.3">
      <c r="A646" s="2" t="s">
        <v>19</v>
      </c>
      <c r="B646" s="6"/>
      <c r="C646" s="8"/>
      <c r="D646" s="6"/>
      <c r="E646" s="6"/>
      <c r="F646" s="6"/>
      <c r="G646" s="94"/>
      <c r="H646" s="95"/>
    </row>
    <row r="647" spans="1:11" ht="30.75" hidden="1" thickBot="1" x14ac:dyDescent="0.3">
      <c r="A647" s="2" t="s">
        <v>20</v>
      </c>
      <c r="B647" s="6">
        <f>G647*56%</f>
        <v>19547.920000000002</v>
      </c>
      <c r="C647" s="8"/>
      <c r="D647" s="6"/>
      <c r="E647" s="6">
        <f>G647-B647</f>
        <v>15359.079999999998</v>
      </c>
      <c r="F647" s="6"/>
      <c r="G647" s="90">
        <v>34907</v>
      </c>
      <c r="H647" s="91"/>
    </row>
    <row r="648" spans="1:11" ht="30.75" hidden="1" thickBot="1" x14ac:dyDescent="0.3">
      <c r="A648" s="2" t="s">
        <v>21</v>
      </c>
      <c r="B648" s="6">
        <f>G648*56%</f>
        <v>19666.080000000002</v>
      </c>
      <c r="C648" s="6"/>
      <c r="D648" s="26">
        <f>G648-B648</f>
        <v>15451.919999999998</v>
      </c>
      <c r="E648" s="8" t="s">
        <v>8</v>
      </c>
      <c r="F648" s="8" t="s">
        <v>8</v>
      </c>
      <c r="G648" s="90">
        <f>33303+1574+241</f>
        <v>35118</v>
      </c>
      <c r="H648" s="91"/>
    </row>
    <row r="649" spans="1:11" ht="15.75" hidden="1" thickBot="1" x14ac:dyDescent="0.3">
      <c r="A649" s="3" t="s">
        <v>22</v>
      </c>
      <c r="B649" s="6">
        <f>G649*56%</f>
        <v>19881.68</v>
      </c>
      <c r="C649" s="6"/>
      <c r="D649" s="31">
        <f>G649-B649</f>
        <v>15621.32</v>
      </c>
      <c r="E649" s="8" t="s">
        <v>8</v>
      </c>
      <c r="F649" s="8" t="s">
        <v>8</v>
      </c>
      <c r="G649" s="90">
        <f>128+16349+10+3696+15320</f>
        <v>35503</v>
      </c>
      <c r="H649" s="91"/>
    </row>
    <row r="650" spans="1:11" ht="15.75" hidden="1" thickBot="1" x14ac:dyDescent="0.3">
      <c r="A650" s="3" t="s">
        <v>23</v>
      </c>
      <c r="B650" s="8" t="s">
        <v>8</v>
      </c>
      <c r="C650" s="12"/>
      <c r="D650" s="8" t="s">
        <v>8</v>
      </c>
      <c r="E650" s="8" t="s">
        <v>8</v>
      </c>
      <c r="F650" s="8" t="s">
        <v>8</v>
      </c>
      <c r="G650" s="94"/>
      <c r="H650" s="95"/>
    </row>
    <row r="651" spans="1:11" ht="15.75" hidden="1" thickBot="1" x14ac:dyDescent="0.3">
      <c r="A651" s="3" t="s">
        <v>24</v>
      </c>
      <c r="B651" s="6">
        <f>G651*56%</f>
        <v>0</v>
      </c>
      <c r="C651" s="6"/>
      <c r="D651" s="6"/>
      <c r="E651" s="8" t="s">
        <v>8</v>
      </c>
      <c r="F651" s="8" t="s">
        <v>8</v>
      </c>
      <c r="G651" s="90"/>
      <c r="H651" s="91"/>
    </row>
    <row r="652" spans="1:11" ht="15.75" hidden="1" thickBot="1" x14ac:dyDescent="0.3">
      <c r="A652" s="4" t="s">
        <v>25</v>
      </c>
      <c r="B652" s="6">
        <f>SUM(B636:B651)</f>
        <v>216071.08000000002</v>
      </c>
      <c r="C652" s="6"/>
      <c r="D652" s="6">
        <f>SUM(D636:D651)</f>
        <v>131347.84</v>
      </c>
      <c r="E652" s="6">
        <f>SUM(E636:E651)</f>
        <v>15359.079999999998</v>
      </c>
      <c r="F652" s="6"/>
      <c r="G652" s="90">
        <f>SUM(G636:H651)</f>
        <v>362778</v>
      </c>
      <c r="H652" s="91"/>
      <c r="J652" s="10"/>
    </row>
    <row r="653" spans="1:11" hidden="1" x14ac:dyDescent="0.25">
      <c r="A653" s="92" t="s">
        <v>26</v>
      </c>
      <c r="B653" s="92"/>
      <c r="C653" s="92"/>
      <c r="D653" s="92"/>
      <c r="E653" s="92"/>
      <c r="F653" s="92"/>
      <c r="G653" s="92"/>
      <c r="H653" s="92"/>
    </row>
    <row r="654" spans="1:11" hidden="1" x14ac:dyDescent="0.25">
      <c r="A654" s="93" t="s">
        <v>27</v>
      </c>
      <c r="B654" s="93"/>
      <c r="C654" s="93"/>
      <c r="D654" s="93"/>
      <c r="E654" s="93"/>
      <c r="F654" s="93"/>
      <c r="G654" s="93"/>
      <c r="H654" s="93"/>
    </row>
    <row r="655" spans="1:11" ht="17.25" hidden="1" customHeight="1" x14ac:dyDescent="0.25">
      <c r="A655" s="93" t="s">
        <v>28</v>
      </c>
      <c r="B655" s="93"/>
      <c r="C655" s="93"/>
      <c r="D655" s="93"/>
      <c r="E655" s="93"/>
      <c r="F655" s="93"/>
      <c r="G655" s="93"/>
      <c r="H655" s="93"/>
    </row>
    <row r="656" spans="1:11" ht="12.75" hidden="1" customHeight="1" x14ac:dyDescent="0.25">
      <c r="A656" s="1"/>
      <c r="B656" s="9"/>
      <c r="C656" s="9"/>
      <c r="D656" s="9"/>
      <c r="E656" s="9"/>
      <c r="F656" s="9"/>
      <c r="G656" s="9"/>
      <c r="H656" s="9"/>
    </row>
    <row r="657" spans="1:11" ht="27.75" hidden="1" customHeight="1" x14ac:dyDescent="0.25">
      <c r="A657" s="5"/>
      <c r="B657" s="13" t="s">
        <v>139</v>
      </c>
      <c r="C657" s="13">
        <v>213073</v>
      </c>
    </row>
    <row r="658" spans="1:11" hidden="1" x14ac:dyDescent="0.25">
      <c r="C658" s="10">
        <f>C657-B652</f>
        <v>-2998.0800000000163</v>
      </c>
    </row>
    <row r="659" spans="1:11" hidden="1" x14ac:dyDescent="0.25">
      <c r="C659"/>
      <c r="D659"/>
      <c r="E659"/>
      <c r="F659"/>
      <c r="G659"/>
      <c r="H659"/>
    </row>
    <row r="660" spans="1:11" hidden="1" x14ac:dyDescent="0.25">
      <c r="C660"/>
      <c r="D660"/>
      <c r="E660"/>
      <c r="F660"/>
      <c r="G660"/>
      <c r="H660"/>
    </row>
    <row r="661" spans="1:11" hidden="1" x14ac:dyDescent="0.25">
      <c r="C661"/>
      <c r="D661"/>
      <c r="E661"/>
      <c r="F661"/>
      <c r="G661"/>
      <c r="H661"/>
    </row>
    <row r="662" spans="1:11" hidden="1" x14ac:dyDescent="0.25">
      <c r="C662"/>
      <c r="D662"/>
      <c r="E662"/>
      <c r="F662"/>
      <c r="G662"/>
      <c r="H662"/>
    </row>
    <row r="663" spans="1:11" hidden="1" x14ac:dyDescent="0.25">
      <c r="C663"/>
      <c r="D663"/>
      <c r="E663"/>
      <c r="F663"/>
      <c r="G663"/>
      <c r="H663"/>
    </row>
    <row r="664" spans="1:11" hidden="1" x14ac:dyDescent="0.25">
      <c r="C664"/>
      <c r="D664"/>
      <c r="E664"/>
      <c r="F664"/>
      <c r="G664"/>
      <c r="H664"/>
    </row>
    <row r="665" spans="1:11" hidden="1" x14ac:dyDescent="0.25">
      <c r="C665"/>
      <c r="D665"/>
      <c r="E665"/>
      <c r="F665"/>
      <c r="G665"/>
      <c r="H665"/>
      <c r="K665" s="10">
        <f>G694-G689</f>
        <v>387335</v>
      </c>
    </row>
    <row r="666" spans="1:11" hidden="1" x14ac:dyDescent="0.25">
      <c r="C666"/>
      <c r="D666"/>
      <c r="E666"/>
      <c r="F666"/>
      <c r="G666"/>
      <c r="H666"/>
      <c r="K666" s="10">
        <f>K665-371770</f>
        <v>15565</v>
      </c>
    </row>
    <row r="667" spans="1:11" hidden="1" x14ac:dyDescent="0.25">
      <c r="C667"/>
      <c r="D667"/>
      <c r="E667"/>
      <c r="F667"/>
      <c r="G667"/>
      <c r="H667"/>
    </row>
    <row r="668" spans="1:11" hidden="1" x14ac:dyDescent="0.25">
      <c r="C668"/>
      <c r="D668"/>
      <c r="E668"/>
      <c r="F668"/>
      <c r="G668"/>
      <c r="H668"/>
    </row>
    <row r="669" spans="1:11" hidden="1" x14ac:dyDescent="0.25">
      <c r="A669" s="22"/>
      <c r="B669" s="23"/>
      <c r="C669" s="23"/>
      <c r="D669" s="23"/>
      <c r="E669" s="112" t="s">
        <v>29</v>
      </c>
      <c r="F669" s="112"/>
      <c r="G669" s="112"/>
      <c r="H669" s="112"/>
    </row>
    <row r="670" spans="1:11" hidden="1" x14ac:dyDescent="0.25">
      <c r="A670" s="113"/>
      <c r="B670" s="114"/>
      <c r="C670" s="114"/>
      <c r="D670" s="115"/>
      <c r="E670" s="115" t="s">
        <v>0</v>
      </c>
      <c r="F670" s="115"/>
      <c r="G670" s="115"/>
      <c r="H670" s="115"/>
    </row>
    <row r="671" spans="1:11" hidden="1" x14ac:dyDescent="0.25">
      <c r="A671" s="113"/>
      <c r="B671" s="114"/>
      <c r="C671" s="114"/>
      <c r="D671" s="115"/>
      <c r="E671" s="126" t="s">
        <v>31</v>
      </c>
      <c r="F671" s="115"/>
      <c r="G671" s="115"/>
      <c r="H671" s="115"/>
    </row>
    <row r="672" spans="1:11" ht="15.75" hidden="1" thickBot="1" x14ac:dyDescent="0.3">
      <c r="A672" s="98" t="s">
        <v>51</v>
      </c>
      <c r="B672" s="98"/>
      <c r="C672" s="98"/>
      <c r="D672" s="98"/>
      <c r="E672" s="98"/>
      <c r="F672" s="98"/>
      <c r="G672" s="99"/>
      <c r="H672" s="99"/>
    </row>
    <row r="673" spans="1:11" hidden="1" x14ac:dyDescent="0.25">
      <c r="A673" s="100" t="s">
        <v>2</v>
      </c>
      <c r="B673" s="103" t="s">
        <v>30</v>
      </c>
      <c r="C673" s="104"/>
      <c r="D673" s="104"/>
      <c r="E673" s="104"/>
      <c r="F673" s="104"/>
      <c r="G673" s="105" t="s">
        <v>3</v>
      </c>
      <c r="H673" s="106"/>
    </row>
    <row r="674" spans="1:11" ht="135.75" hidden="1" thickBot="1" x14ac:dyDescent="0.3">
      <c r="A674" s="124"/>
      <c r="B674" s="105" t="s">
        <v>30</v>
      </c>
      <c r="C674" s="105"/>
      <c r="D674" s="15" t="s">
        <v>32</v>
      </c>
      <c r="E674" s="105" t="s">
        <v>4</v>
      </c>
      <c r="F674" s="105"/>
      <c r="G674" s="125"/>
      <c r="H674" s="109"/>
    </row>
    <row r="675" spans="1:11" ht="165.75" hidden="1" thickBot="1" x14ac:dyDescent="0.3">
      <c r="A675" s="102"/>
      <c r="B675" s="14" t="s">
        <v>36</v>
      </c>
      <c r="C675" s="25" t="s">
        <v>5</v>
      </c>
      <c r="D675" s="15" t="s">
        <v>33</v>
      </c>
      <c r="E675" s="25" t="s">
        <v>34</v>
      </c>
      <c r="F675" s="7" t="s">
        <v>35</v>
      </c>
      <c r="G675" s="110"/>
      <c r="H675" s="111"/>
    </row>
    <row r="676" spans="1:11" ht="15.75" hidden="1" thickBot="1" x14ac:dyDescent="0.3">
      <c r="A676" s="24">
        <v>1</v>
      </c>
      <c r="B676" s="7">
        <v>2</v>
      </c>
      <c r="C676" s="16">
        <v>3</v>
      </c>
      <c r="D676" s="25">
        <v>4</v>
      </c>
      <c r="E676" s="11">
        <v>5</v>
      </c>
      <c r="F676" s="7">
        <v>6</v>
      </c>
      <c r="G676" s="96" t="s">
        <v>37</v>
      </c>
      <c r="H676" s="97"/>
    </row>
    <row r="677" spans="1:11" ht="57.75" hidden="1" customHeight="1" thickBot="1" x14ac:dyDescent="0.3">
      <c r="A677" s="2" t="s">
        <v>7</v>
      </c>
      <c r="B677" s="6">
        <f>B678</f>
        <v>129144.52</v>
      </c>
      <c r="C677" s="12"/>
      <c r="D677" s="6">
        <f>D678</f>
        <v>40782.479999999996</v>
      </c>
      <c r="E677" s="8" t="s">
        <v>8</v>
      </c>
      <c r="F677" s="8" t="s">
        <v>8</v>
      </c>
      <c r="G677" s="90">
        <f>174390-4529+66</f>
        <v>169927</v>
      </c>
      <c r="H677" s="91"/>
    </row>
    <row r="678" spans="1:11" ht="15.75" hidden="1" thickBot="1" x14ac:dyDescent="0.3">
      <c r="A678" s="3" t="s">
        <v>9</v>
      </c>
      <c r="B678" s="6">
        <f>G678*76%</f>
        <v>129144.52</v>
      </c>
      <c r="C678" s="12"/>
      <c r="D678" s="26">
        <f>G678-B678</f>
        <v>40782.479999999996</v>
      </c>
      <c r="E678" s="8" t="s">
        <v>8</v>
      </c>
      <c r="F678" s="8" t="s">
        <v>8</v>
      </c>
      <c r="G678" s="90">
        <f>G677</f>
        <v>169927</v>
      </c>
      <c r="H678" s="91"/>
      <c r="I678">
        <f>G678/K682</f>
        <v>0.67488929046607227</v>
      </c>
    </row>
    <row r="679" spans="1:11" ht="15.75" hidden="1" thickBot="1" x14ac:dyDescent="0.3">
      <c r="A679" s="2" t="s">
        <v>10</v>
      </c>
      <c r="B679" s="6">
        <v>0</v>
      </c>
      <c r="C679" s="12"/>
      <c r="D679" s="6">
        <v>0</v>
      </c>
      <c r="E679" s="8" t="s">
        <v>8</v>
      </c>
      <c r="F679" s="8" t="s">
        <v>8</v>
      </c>
      <c r="G679" s="90">
        <v>0</v>
      </c>
      <c r="H679" s="91"/>
    </row>
    <row r="680" spans="1:11" ht="60.75" hidden="1" thickBot="1" x14ac:dyDescent="0.3">
      <c r="A680" s="2" t="s">
        <v>11</v>
      </c>
      <c r="B680" s="6">
        <f>G680*76%</f>
        <v>57890.720000000001</v>
      </c>
      <c r="C680" s="12"/>
      <c r="D680" s="26">
        <f>G680-B680</f>
        <v>18281.28</v>
      </c>
      <c r="E680" s="8" t="s">
        <v>8</v>
      </c>
      <c r="F680" s="8" t="s">
        <v>8</v>
      </c>
      <c r="G680" s="90">
        <f>77329-1157</f>
        <v>76172</v>
      </c>
      <c r="H680" s="91"/>
      <c r="I680">
        <f>G680/K682</f>
        <v>0.30252795043390196</v>
      </c>
    </row>
    <row r="681" spans="1:11" ht="30.75" hidden="1" thickBot="1" x14ac:dyDescent="0.3">
      <c r="A681" s="2" t="s">
        <v>12</v>
      </c>
      <c r="B681" s="6">
        <f>G681*76%</f>
        <v>4321.3599999999997</v>
      </c>
      <c r="C681" s="12"/>
      <c r="D681" s="26">
        <f>G681-B681</f>
        <v>1364.6400000000003</v>
      </c>
      <c r="E681" s="8" t="s">
        <v>8</v>
      </c>
      <c r="F681" s="8" t="s">
        <v>8</v>
      </c>
      <c r="G681" s="90">
        <v>5686</v>
      </c>
      <c r="H681" s="91"/>
      <c r="I681">
        <f>G681/K682</f>
        <v>2.2582759100025815E-2</v>
      </c>
    </row>
    <row r="682" spans="1:11" ht="15.75" hidden="1" thickBot="1" x14ac:dyDescent="0.3">
      <c r="A682" s="2" t="s">
        <v>13</v>
      </c>
      <c r="B682" s="6">
        <f>G682*56%</f>
        <v>14558.880000000001</v>
      </c>
      <c r="C682" s="6"/>
      <c r="D682" s="26">
        <f>G682-B682</f>
        <v>11439.119999999999</v>
      </c>
      <c r="E682" s="8" t="s">
        <v>8</v>
      </c>
      <c r="F682" s="8" t="s">
        <v>8</v>
      </c>
      <c r="G682" s="90">
        <v>25998</v>
      </c>
      <c r="H682" s="91"/>
      <c r="J682" s="10">
        <f>G681+G680+G678</f>
        <v>251785</v>
      </c>
      <c r="K682" s="10">
        <f>G677+G680+G681</f>
        <v>251785</v>
      </c>
    </row>
    <row r="683" spans="1:11" ht="30.75" hidden="1" thickBot="1" x14ac:dyDescent="0.3">
      <c r="A683" s="2" t="s">
        <v>14</v>
      </c>
      <c r="B683" s="6">
        <f>G683*56%</f>
        <v>12036.080000000002</v>
      </c>
      <c r="C683" s="6"/>
      <c r="D683" s="26">
        <f>G683-B683</f>
        <v>9456.9199999999983</v>
      </c>
      <c r="E683" s="8" t="s">
        <v>8</v>
      </c>
      <c r="F683" s="8" t="s">
        <v>8</v>
      </c>
      <c r="G683" s="90">
        <f>13939+7554</f>
        <v>21493</v>
      </c>
      <c r="H683" s="91"/>
    </row>
    <row r="684" spans="1:11" ht="45.75" hidden="1" thickBot="1" x14ac:dyDescent="0.3">
      <c r="A684" s="2" t="s">
        <v>15</v>
      </c>
      <c r="B684" s="8" t="s">
        <v>8</v>
      </c>
      <c r="C684" s="8" t="s">
        <v>8</v>
      </c>
      <c r="D684" s="6"/>
      <c r="E684" s="8" t="s">
        <v>8</v>
      </c>
      <c r="F684" s="8" t="s">
        <v>8</v>
      </c>
      <c r="G684" s="90"/>
      <c r="H684" s="91"/>
    </row>
    <row r="685" spans="1:11" ht="15.75" hidden="1" thickBot="1" x14ac:dyDescent="0.3">
      <c r="A685" s="2" t="s">
        <v>16</v>
      </c>
      <c r="B685" s="8" t="s">
        <v>8</v>
      </c>
      <c r="C685" s="8" t="s">
        <v>8</v>
      </c>
      <c r="D685" s="12"/>
      <c r="E685" s="6">
        <v>0</v>
      </c>
      <c r="F685" s="6"/>
      <c r="G685" s="90">
        <v>0</v>
      </c>
      <c r="H685" s="91"/>
    </row>
    <row r="686" spans="1:11" ht="15.75" hidden="1" thickBot="1" x14ac:dyDescent="0.3">
      <c r="A686" s="3" t="s">
        <v>17</v>
      </c>
      <c r="B686" s="6">
        <f>G686*56%</f>
        <v>0</v>
      </c>
      <c r="C686" s="8"/>
      <c r="D686" s="6"/>
      <c r="E686" s="6">
        <f>G686-B686</f>
        <v>0</v>
      </c>
      <c r="F686" s="6"/>
      <c r="G686" s="90">
        <v>0</v>
      </c>
      <c r="H686" s="91"/>
    </row>
    <row r="687" spans="1:11" ht="15.75" hidden="1" thickBot="1" x14ac:dyDescent="0.3">
      <c r="A687" s="3" t="s">
        <v>18</v>
      </c>
      <c r="B687" s="6"/>
      <c r="C687" s="8"/>
      <c r="D687" s="8"/>
      <c r="E687" s="6"/>
      <c r="F687" s="6"/>
      <c r="G687" s="90"/>
      <c r="H687" s="91"/>
    </row>
    <row r="688" spans="1:11" ht="45.75" hidden="1" thickBot="1" x14ac:dyDescent="0.3">
      <c r="A688" s="2" t="s">
        <v>19</v>
      </c>
      <c r="B688" s="6"/>
      <c r="C688" s="8"/>
      <c r="D688" s="6"/>
      <c r="E688" s="6"/>
      <c r="F688" s="6"/>
      <c r="G688" s="94"/>
      <c r="H688" s="95"/>
    </row>
    <row r="689" spans="1:10" ht="30.75" hidden="1" thickBot="1" x14ac:dyDescent="0.3">
      <c r="A689" s="2" t="s">
        <v>20</v>
      </c>
      <c r="B689" s="6"/>
      <c r="C689" s="8"/>
      <c r="D689" s="6"/>
      <c r="E689" s="6">
        <f>G689-B689</f>
        <v>38142</v>
      </c>
      <c r="F689" s="6"/>
      <c r="G689" s="90">
        <v>38142</v>
      </c>
      <c r="H689" s="91"/>
    </row>
    <row r="690" spans="1:10" ht="30.75" hidden="1" thickBot="1" x14ac:dyDescent="0.3">
      <c r="A690" s="2" t="s">
        <v>21</v>
      </c>
      <c r="B690" s="6">
        <f>G690*56%-10000</f>
        <v>12850.800000000003</v>
      </c>
      <c r="C690" s="6"/>
      <c r="D690" s="26">
        <f>G690-B690</f>
        <v>27954.199999999997</v>
      </c>
      <c r="E690" s="8" t="s">
        <v>8</v>
      </c>
      <c r="F690" s="8" t="s">
        <v>8</v>
      </c>
      <c r="G690" s="90">
        <f>38990+241+1574</f>
        <v>40805</v>
      </c>
      <c r="H690" s="91"/>
    </row>
    <row r="691" spans="1:10" ht="15.75" hidden="1" thickBot="1" x14ac:dyDescent="0.3">
      <c r="A691" s="3" t="s">
        <v>22</v>
      </c>
      <c r="B691" s="6">
        <f>G691*56%-15144</f>
        <v>11318.240000000002</v>
      </c>
      <c r="C691" s="6"/>
      <c r="D691" s="31">
        <f>G691-B691</f>
        <v>35935.759999999995</v>
      </c>
      <c r="E691" s="8" t="s">
        <v>8</v>
      </c>
      <c r="F691" s="8" t="s">
        <v>8</v>
      </c>
      <c r="G691" s="90">
        <f>15320+133+10125+17927+3739+10</f>
        <v>47254</v>
      </c>
      <c r="H691" s="91"/>
      <c r="J691">
        <v>40435</v>
      </c>
    </row>
    <row r="692" spans="1:10" ht="15.75" hidden="1" thickBot="1" x14ac:dyDescent="0.3">
      <c r="A692" s="3" t="s">
        <v>23</v>
      </c>
      <c r="B692" s="8" t="s">
        <v>8</v>
      </c>
      <c r="C692" s="12"/>
      <c r="D692" s="8" t="s">
        <v>8</v>
      </c>
      <c r="E692" s="8" t="s">
        <v>8</v>
      </c>
      <c r="F692" s="8" t="s">
        <v>8</v>
      </c>
      <c r="G692" s="94"/>
      <c r="H692" s="95"/>
    </row>
    <row r="693" spans="1:10" ht="15.75" hidden="1" thickBot="1" x14ac:dyDescent="0.3">
      <c r="A693" s="3" t="s">
        <v>24</v>
      </c>
      <c r="B693" s="6">
        <f>G693*56%</f>
        <v>0</v>
      </c>
      <c r="C693" s="6"/>
      <c r="D693" s="6"/>
      <c r="E693" s="8" t="s">
        <v>8</v>
      </c>
      <c r="F693" s="8" t="s">
        <v>8</v>
      </c>
      <c r="G693" s="90"/>
      <c r="H693" s="91"/>
    </row>
    <row r="694" spans="1:10" ht="15.75" hidden="1" thickBot="1" x14ac:dyDescent="0.3">
      <c r="A694" s="4" t="s">
        <v>25</v>
      </c>
      <c r="B694" s="6">
        <f>SUM(B678:B693)</f>
        <v>242120.59999999998</v>
      </c>
      <c r="C694" s="6"/>
      <c r="D694" s="6">
        <f>SUM(D678:D693)</f>
        <v>145214.39999999997</v>
      </c>
      <c r="E694" s="6">
        <f>SUM(E678:E693)</f>
        <v>38142</v>
      </c>
      <c r="F694" s="6"/>
      <c r="G694" s="90">
        <f>SUM(G678:H693)</f>
        <v>425477</v>
      </c>
      <c r="H694" s="91"/>
      <c r="J694" s="10">
        <f>425477-G694</f>
        <v>0</v>
      </c>
    </row>
    <row r="695" spans="1:10" hidden="1" x14ac:dyDescent="0.25">
      <c r="A695" s="92" t="s">
        <v>26</v>
      </c>
      <c r="B695" s="92"/>
      <c r="C695" s="92"/>
      <c r="D695" s="92"/>
      <c r="E695" s="92"/>
      <c r="F695" s="92"/>
      <c r="G695" s="92"/>
      <c r="H695" s="92"/>
    </row>
    <row r="696" spans="1:10" hidden="1" x14ac:dyDescent="0.25">
      <c r="A696" s="93" t="s">
        <v>27</v>
      </c>
      <c r="B696" s="93"/>
      <c r="C696" s="93"/>
      <c r="D696" s="93"/>
      <c r="E696" s="93"/>
      <c r="F696" s="93"/>
      <c r="G696" s="93"/>
      <c r="H696" s="93"/>
    </row>
    <row r="697" spans="1:10" hidden="1" x14ac:dyDescent="0.25">
      <c r="A697" s="93" t="s">
        <v>28</v>
      </c>
      <c r="B697" s="93"/>
      <c r="C697" s="93"/>
      <c r="D697" s="93"/>
      <c r="E697" s="93"/>
      <c r="F697" s="93"/>
      <c r="G697" s="93"/>
      <c r="H697" s="93"/>
    </row>
    <row r="698" spans="1:10" hidden="1" x14ac:dyDescent="0.25">
      <c r="A698" s="1"/>
      <c r="B698" s="9"/>
      <c r="C698" s="9"/>
      <c r="D698" s="9"/>
      <c r="E698" s="9"/>
      <c r="F698" s="9"/>
      <c r="G698" s="9"/>
      <c r="H698" s="9"/>
    </row>
    <row r="699" spans="1:10" ht="15.75" hidden="1" x14ac:dyDescent="0.25">
      <c r="A699" s="5"/>
      <c r="B699" s="13" t="s">
        <v>140</v>
      </c>
      <c r="C699" s="13">
        <v>233404</v>
      </c>
    </row>
    <row r="700" spans="1:10" hidden="1" x14ac:dyDescent="0.25"/>
    <row r="701" spans="1:10" hidden="1" x14ac:dyDescent="0.25">
      <c r="B701" s="10">
        <f>233404-B694</f>
        <v>-8716.5999999999767</v>
      </c>
      <c r="C701"/>
      <c r="D701"/>
      <c r="E701"/>
      <c r="F701"/>
      <c r="G701"/>
      <c r="H701"/>
    </row>
    <row r="702" spans="1:10" hidden="1" x14ac:dyDescent="0.25">
      <c r="C702"/>
      <c r="D702"/>
      <c r="E702"/>
      <c r="F702"/>
      <c r="G702"/>
      <c r="H702"/>
    </row>
    <row r="703" spans="1:10" x14ac:dyDescent="0.25">
      <c r="C703"/>
      <c r="D703"/>
      <c r="E703"/>
      <c r="F703"/>
      <c r="G703"/>
      <c r="H703"/>
    </row>
    <row r="704" spans="1:10" x14ac:dyDescent="0.25">
      <c r="C704"/>
      <c r="D704"/>
      <c r="E704"/>
      <c r="F704"/>
      <c r="G704"/>
      <c r="H704"/>
    </row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</sheetData>
  <mergeCells count="701">
    <mergeCell ref="G694:H694"/>
    <mergeCell ref="A695:H695"/>
    <mergeCell ref="A696:H696"/>
    <mergeCell ref="A697:H697"/>
    <mergeCell ref="G688:H688"/>
    <mergeCell ref="G689:H689"/>
    <mergeCell ref="G690:H690"/>
    <mergeCell ref="G691:H691"/>
    <mergeCell ref="G692:H692"/>
    <mergeCell ref="G693:H693"/>
    <mergeCell ref="G683:H683"/>
    <mergeCell ref="G684:H684"/>
    <mergeCell ref="G685:H685"/>
    <mergeCell ref="G686:H686"/>
    <mergeCell ref="G687:H687"/>
    <mergeCell ref="G676:H676"/>
    <mergeCell ref="G677:H677"/>
    <mergeCell ref="G678:H678"/>
    <mergeCell ref="G679:H679"/>
    <mergeCell ref="G680:H680"/>
    <mergeCell ref="G681:H681"/>
    <mergeCell ref="A672:H672"/>
    <mergeCell ref="A673:A675"/>
    <mergeCell ref="B673:F673"/>
    <mergeCell ref="G673:H673"/>
    <mergeCell ref="B674:C674"/>
    <mergeCell ref="E674:F674"/>
    <mergeCell ref="G674:H674"/>
    <mergeCell ref="G675:H675"/>
    <mergeCell ref="G682:H682"/>
    <mergeCell ref="G652:H652"/>
    <mergeCell ref="A653:H653"/>
    <mergeCell ref="A654:H654"/>
    <mergeCell ref="A655:H655"/>
    <mergeCell ref="E669:H669"/>
    <mergeCell ref="A670:A671"/>
    <mergeCell ref="B670:B671"/>
    <mergeCell ref="C670:C671"/>
    <mergeCell ref="D670:D671"/>
    <mergeCell ref="E670:H670"/>
    <mergeCell ref="E671:H671"/>
    <mergeCell ref="G646:H646"/>
    <mergeCell ref="G647:H647"/>
    <mergeCell ref="G648:H648"/>
    <mergeCell ref="G649:H649"/>
    <mergeCell ref="G650:H650"/>
    <mergeCell ref="G651:H651"/>
    <mergeCell ref="G640:H640"/>
    <mergeCell ref="G641:H641"/>
    <mergeCell ref="G642:H642"/>
    <mergeCell ref="G643:H643"/>
    <mergeCell ref="G644:H644"/>
    <mergeCell ref="G645:H645"/>
    <mergeCell ref="G634:H634"/>
    <mergeCell ref="G635:H635"/>
    <mergeCell ref="G636:H636"/>
    <mergeCell ref="G637:H637"/>
    <mergeCell ref="G638:H638"/>
    <mergeCell ref="G639:H639"/>
    <mergeCell ref="E629:H629"/>
    <mergeCell ref="A630:H630"/>
    <mergeCell ref="A631:A633"/>
    <mergeCell ref="B631:F631"/>
    <mergeCell ref="G631:H631"/>
    <mergeCell ref="B632:C632"/>
    <mergeCell ref="E632:F632"/>
    <mergeCell ref="G632:H632"/>
    <mergeCell ref="G633:H633"/>
    <mergeCell ref="G616:H616"/>
    <mergeCell ref="A617:H617"/>
    <mergeCell ref="A618:H618"/>
    <mergeCell ref="A619:H619"/>
    <mergeCell ref="E627:H627"/>
    <mergeCell ref="A628:A629"/>
    <mergeCell ref="B628:B629"/>
    <mergeCell ref="C628:C629"/>
    <mergeCell ref="D628:D629"/>
    <mergeCell ref="E628:H628"/>
    <mergeCell ref="G610:H610"/>
    <mergeCell ref="G611:H611"/>
    <mergeCell ref="G612:H612"/>
    <mergeCell ref="G613:H613"/>
    <mergeCell ref="G614:H614"/>
    <mergeCell ref="G615:H615"/>
    <mergeCell ref="G604:H604"/>
    <mergeCell ref="G605:H605"/>
    <mergeCell ref="G606:H606"/>
    <mergeCell ref="G607:H607"/>
    <mergeCell ref="G608:H608"/>
    <mergeCell ref="G609:H609"/>
    <mergeCell ref="G598:H598"/>
    <mergeCell ref="G599:H599"/>
    <mergeCell ref="G600:H600"/>
    <mergeCell ref="G601:H601"/>
    <mergeCell ref="G602:H602"/>
    <mergeCell ref="G603:H603"/>
    <mergeCell ref="E593:H593"/>
    <mergeCell ref="A594:H594"/>
    <mergeCell ref="A595:A597"/>
    <mergeCell ref="B595:F595"/>
    <mergeCell ref="G595:H595"/>
    <mergeCell ref="B596:C596"/>
    <mergeCell ref="E596:F596"/>
    <mergeCell ref="G596:H596"/>
    <mergeCell ref="G597:H597"/>
    <mergeCell ref="G581:H581"/>
    <mergeCell ref="A582:H582"/>
    <mergeCell ref="A583:H583"/>
    <mergeCell ref="A584:H584"/>
    <mergeCell ref="E591:H591"/>
    <mergeCell ref="A592:A593"/>
    <mergeCell ref="B592:B593"/>
    <mergeCell ref="C592:C593"/>
    <mergeCell ref="D592:D593"/>
    <mergeCell ref="E592:H592"/>
    <mergeCell ref="G575:H575"/>
    <mergeCell ref="G576:H576"/>
    <mergeCell ref="G577:H577"/>
    <mergeCell ref="G578:H578"/>
    <mergeCell ref="G579:H579"/>
    <mergeCell ref="G580:H580"/>
    <mergeCell ref="G569:H569"/>
    <mergeCell ref="G570:H570"/>
    <mergeCell ref="G571:H571"/>
    <mergeCell ref="G572:H572"/>
    <mergeCell ref="G573:H573"/>
    <mergeCell ref="G574:H574"/>
    <mergeCell ref="G563:H563"/>
    <mergeCell ref="G564:H564"/>
    <mergeCell ref="G565:H565"/>
    <mergeCell ref="G566:H566"/>
    <mergeCell ref="G567:H567"/>
    <mergeCell ref="G568:H568"/>
    <mergeCell ref="E558:H558"/>
    <mergeCell ref="A559:H559"/>
    <mergeCell ref="A560:A562"/>
    <mergeCell ref="B560:F560"/>
    <mergeCell ref="G560:H560"/>
    <mergeCell ref="B561:C561"/>
    <mergeCell ref="E561:F561"/>
    <mergeCell ref="G561:H561"/>
    <mergeCell ref="G562:H562"/>
    <mergeCell ref="G539:H539"/>
    <mergeCell ref="A540:H540"/>
    <mergeCell ref="A541:H541"/>
    <mergeCell ref="A542:H542"/>
    <mergeCell ref="E556:H556"/>
    <mergeCell ref="A557:A558"/>
    <mergeCell ref="B557:B558"/>
    <mergeCell ref="C557:C558"/>
    <mergeCell ref="D557:D558"/>
    <mergeCell ref="E557:H557"/>
    <mergeCell ref="G533:H533"/>
    <mergeCell ref="G534:H534"/>
    <mergeCell ref="G535:H535"/>
    <mergeCell ref="G536:H536"/>
    <mergeCell ref="G537:H537"/>
    <mergeCell ref="G538:H538"/>
    <mergeCell ref="G527:H527"/>
    <mergeCell ref="G528:H528"/>
    <mergeCell ref="G529:H529"/>
    <mergeCell ref="G530:H530"/>
    <mergeCell ref="G531:H531"/>
    <mergeCell ref="G532:H532"/>
    <mergeCell ref="G521:H521"/>
    <mergeCell ref="G522:H522"/>
    <mergeCell ref="G523:H523"/>
    <mergeCell ref="G524:H524"/>
    <mergeCell ref="G525:H525"/>
    <mergeCell ref="G526:H526"/>
    <mergeCell ref="E516:H516"/>
    <mergeCell ref="A517:H517"/>
    <mergeCell ref="A518:A520"/>
    <mergeCell ref="B518:F518"/>
    <mergeCell ref="G518:H518"/>
    <mergeCell ref="B519:C519"/>
    <mergeCell ref="E519:F519"/>
    <mergeCell ref="G519:H519"/>
    <mergeCell ref="G520:H520"/>
    <mergeCell ref="G505:H505"/>
    <mergeCell ref="A506:H506"/>
    <mergeCell ref="A507:H507"/>
    <mergeCell ref="A508:H508"/>
    <mergeCell ref="E514:H514"/>
    <mergeCell ref="A515:A516"/>
    <mergeCell ref="B515:B516"/>
    <mergeCell ref="C515:C516"/>
    <mergeCell ref="D515:D516"/>
    <mergeCell ref="E515:H515"/>
    <mergeCell ref="G499:H499"/>
    <mergeCell ref="G500:H500"/>
    <mergeCell ref="G501:H501"/>
    <mergeCell ref="G502:H502"/>
    <mergeCell ref="G503:H503"/>
    <mergeCell ref="G504:H504"/>
    <mergeCell ref="G493:H493"/>
    <mergeCell ref="G494:H494"/>
    <mergeCell ref="G495:H495"/>
    <mergeCell ref="G496:H496"/>
    <mergeCell ref="G497:H497"/>
    <mergeCell ref="G498:H498"/>
    <mergeCell ref="G487:H487"/>
    <mergeCell ref="G488:H488"/>
    <mergeCell ref="G489:H489"/>
    <mergeCell ref="G490:H490"/>
    <mergeCell ref="G491:H491"/>
    <mergeCell ref="G492:H492"/>
    <mergeCell ref="E482:H482"/>
    <mergeCell ref="A483:H483"/>
    <mergeCell ref="A484:A486"/>
    <mergeCell ref="B484:F484"/>
    <mergeCell ref="G484:H484"/>
    <mergeCell ref="B485:C485"/>
    <mergeCell ref="E485:F485"/>
    <mergeCell ref="G485:H485"/>
    <mergeCell ref="G486:H486"/>
    <mergeCell ref="G471:H471"/>
    <mergeCell ref="A472:H472"/>
    <mergeCell ref="A473:H473"/>
    <mergeCell ref="A474:H474"/>
    <mergeCell ref="E480:H480"/>
    <mergeCell ref="A481:A482"/>
    <mergeCell ref="B481:B482"/>
    <mergeCell ref="C481:C482"/>
    <mergeCell ref="D481:D482"/>
    <mergeCell ref="E481:H481"/>
    <mergeCell ref="G465:H465"/>
    <mergeCell ref="G466:H466"/>
    <mergeCell ref="G467:H467"/>
    <mergeCell ref="G468:H468"/>
    <mergeCell ref="G469:H469"/>
    <mergeCell ref="G470:H470"/>
    <mergeCell ref="G459:H459"/>
    <mergeCell ref="G460:H460"/>
    <mergeCell ref="G461:H461"/>
    <mergeCell ref="G462:H462"/>
    <mergeCell ref="G463:H463"/>
    <mergeCell ref="G464:H464"/>
    <mergeCell ref="G453:H453"/>
    <mergeCell ref="G454:H454"/>
    <mergeCell ref="G455:H455"/>
    <mergeCell ref="G456:H456"/>
    <mergeCell ref="G457:H457"/>
    <mergeCell ref="G458:H458"/>
    <mergeCell ref="E448:H448"/>
    <mergeCell ref="A449:H449"/>
    <mergeCell ref="A450:A452"/>
    <mergeCell ref="B450:F450"/>
    <mergeCell ref="G450:H450"/>
    <mergeCell ref="B451:C451"/>
    <mergeCell ref="E451:F451"/>
    <mergeCell ref="G451:H451"/>
    <mergeCell ref="G452:H452"/>
    <mergeCell ref="G180:H180"/>
    <mergeCell ref="A181:H181"/>
    <mergeCell ref="A182:H182"/>
    <mergeCell ref="A183:H183"/>
    <mergeCell ref="E446:H446"/>
    <mergeCell ref="A447:A448"/>
    <mergeCell ref="B447:B448"/>
    <mergeCell ref="C447:C448"/>
    <mergeCell ref="D447:D448"/>
    <mergeCell ref="E447:H447"/>
    <mergeCell ref="E189:H189"/>
    <mergeCell ref="A190:A191"/>
    <mergeCell ref="B190:B191"/>
    <mergeCell ref="C190:C191"/>
    <mergeCell ref="D190:D191"/>
    <mergeCell ref="E190:H190"/>
    <mergeCell ref="E191:H191"/>
    <mergeCell ref="A192:H192"/>
    <mergeCell ref="A193:A195"/>
    <mergeCell ref="B193:F193"/>
    <mergeCell ref="G193:H193"/>
    <mergeCell ref="B194:C194"/>
    <mergeCell ref="E194:F194"/>
    <mergeCell ref="G194:H194"/>
    <mergeCell ref="G174:H174"/>
    <mergeCell ref="G175:H175"/>
    <mergeCell ref="G176:H176"/>
    <mergeCell ref="G177:H177"/>
    <mergeCell ref="G178:H178"/>
    <mergeCell ref="G179:H179"/>
    <mergeCell ref="G168:H168"/>
    <mergeCell ref="G169:H169"/>
    <mergeCell ref="G170:H170"/>
    <mergeCell ref="G171:H171"/>
    <mergeCell ref="G172:H172"/>
    <mergeCell ref="G173:H173"/>
    <mergeCell ref="G162:H162"/>
    <mergeCell ref="G163:H163"/>
    <mergeCell ref="G164:H164"/>
    <mergeCell ref="G165:H165"/>
    <mergeCell ref="G166:H166"/>
    <mergeCell ref="G167:H167"/>
    <mergeCell ref="E157:H157"/>
    <mergeCell ref="A158:H158"/>
    <mergeCell ref="A159:A161"/>
    <mergeCell ref="B159:F159"/>
    <mergeCell ref="G159:H159"/>
    <mergeCell ref="B160:C160"/>
    <mergeCell ref="E160:F160"/>
    <mergeCell ref="G160:H160"/>
    <mergeCell ref="G161:H161"/>
    <mergeCell ref="G145:H145"/>
    <mergeCell ref="A146:H146"/>
    <mergeCell ref="A147:H147"/>
    <mergeCell ref="A148:H148"/>
    <mergeCell ref="E155:H155"/>
    <mergeCell ref="A156:A157"/>
    <mergeCell ref="B156:B157"/>
    <mergeCell ref="C156:C157"/>
    <mergeCell ref="D156:D157"/>
    <mergeCell ref="E156:H156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27:H127"/>
    <mergeCell ref="G128:H128"/>
    <mergeCell ref="G129:H129"/>
    <mergeCell ref="G130:H130"/>
    <mergeCell ref="G131:H131"/>
    <mergeCell ref="G132:H132"/>
    <mergeCell ref="E122:H122"/>
    <mergeCell ref="A123:H123"/>
    <mergeCell ref="A124:A126"/>
    <mergeCell ref="B124:F124"/>
    <mergeCell ref="G124:H124"/>
    <mergeCell ref="B125:C125"/>
    <mergeCell ref="E125:F125"/>
    <mergeCell ref="G125:H125"/>
    <mergeCell ref="G126:H126"/>
    <mergeCell ref="G101:H101"/>
    <mergeCell ref="A102:H102"/>
    <mergeCell ref="A103:H103"/>
    <mergeCell ref="A104:H104"/>
    <mergeCell ref="E120:H120"/>
    <mergeCell ref="A121:A122"/>
    <mergeCell ref="B121:B122"/>
    <mergeCell ref="C121:C122"/>
    <mergeCell ref="D121:D122"/>
    <mergeCell ref="E121:H121"/>
    <mergeCell ref="G95:H95"/>
    <mergeCell ref="G96:H96"/>
    <mergeCell ref="G97:H97"/>
    <mergeCell ref="G98:H98"/>
    <mergeCell ref="G99:H99"/>
    <mergeCell ref="G100:H100"/>
    <mergeCell ref="G89:H89"/>
    <mergeCell ref="G90:H90"/>
    <mergeCell ref="G91:H91"/>
    <mergeCell ref="G92:H92"/>
    <mergeCell ref="G93:H93"/>
    <mergeCell ref="G94:H94"/>
    <mergeCell ref="G83:H83"/>
    <mergeCell ref="G84:H84"/>
    <mergeCell ref="G85:H85"/>
    <mergeCell ref="G86:H86"/>
    <mergeCell ref="G87:H87"/>
    <mergeCell ref="G88:H88"/>
    <mergeCell ref="E78:H78"/>
    <mergeCell ref="A79:H79"/>
    <mergeCell ref="A80:A82"/>
    <mergeCell ref="B80:F80"/>
    <mergeCell ref="G80:H80"/>
    <mergeCell ref="B81:C81"/>
    <mergeCell ref="E81:F81"/>
    <mergeCell ref="G81:H81"/>
    <mergeCell ref="G82:H82"/>
    <mergeCell ref="G63:H63"/>
    <mergeCell ref="A64:H64"/>
    <mergeCell ref="A65:H65"/>
    <mergeCell ref="A66:H66"/>
    <mergeCell ref="E76:H76"/>
    <mergeCell ref="A77:A78"/>
    <mergeCell ref="B77:B78"/>
    <mergeCell ref="C77:C78"/>
    <mergeCell ref="D77:D78"/>
    <mergeCell ref="E77:H77"/>
    <mergeCell ref="G57:H57"/>
    <mergeCell ref="G58:H58"/>
    <mergeCell ref="G59:H59"/>
    <mergeCell ref="G60:H60"/>
    <mergeCell ref="G61:H61"/>
    <mergeCell ref="G62:H62"/>
    <mergeCell ref="G51:H51"/>
    <mergeCell ref="G52:H52"/>
    <mergeCell ref="G53:H53"/>
    <mergeCell ref="G54:H54"/>
    <mergeCell ref="G55:H55"/>
    <mergeCell ref="G56:H56"/>
    <mergeCell ref="G45:H45"/>
    <mergeCell ref="G46:H46"/>
    <mergeCell ref="G47:H47"/>
    <mergeCell ref="G48:H48"/>
    <mergeCell ref="G49:H49"/>
    <mergeCell ref="G50:H50"/>
    <mergeCell ref="E40:H40"/>
    <mergeCell ref="A41:H41"/>
    <mergeCell ref="A42:A44"/>
    <mergeCell ref="B42:F42"/>
    <mergeCell ref="G42:H42"/>
    <mergeCell ref="B43:C43"/>
    <mergeCell ref="E43:F43"/>
    <mergeCell ref="G43:H43"/>
    <mergeCell ref="G44:H44"/>
    <mergeCell ref="G27:H27"/>
    <mergeCell ref="A28:H28"/>
    <mergeCell ref="A29:H29"/>
    <mergeCell ref="A30:H30"/>
    <mergeCell ref="E38:H38"/>
    <mergeCell ref="A39:A40"/>
    <mergeCell ref="B39:B40"/>
    <mergeCell ref="C39:C40"/>
    <mergeCell ref="D39:D40"/>
    <mergeCell ref="E39:H39"/>
    <mergeCell ref="G21:H21"/>
    <mergeCell ref="G22:H22"/>
    <mergeCell ref="G23:H23"/>
    <mergeCell ref="G24:H24"/>
    <mergeCell ref="G25:H25"/>
    <mergeCell ref="G26:H26"/>
    <mergeCell ref="G15:H15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A5:H5"/>
    <mergeCell ref="A6:A8"/>
    <mergeCell ref="B6:F6"/>
    <mergeCell ref="G6:H6"/>
    <mergeCell ref="B7:C7"/>
    <mergeCell ref="E7:F7"/>
    <mergeCell ref="G7:H7"/>
    <mergeCell ref="G8:H8"/>
    <mergeCell ref="E2:H2"/>
    <mergeCell ref="A3:A4"/>
    <mergeCell ref="B3:B4"/>
    <mergeCell ref="C3:C4"/>
    <mergeCell ref="D3:D4"/>
    <mergeCell ref="E3:H3"/>
    <mergeCell ref="E4:H4"/>
    <mergeCell ref="G9:H9"/>
    <mergeCell ref="G10:H10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212:H212"/>
    <mergeCell ref="G213:H213"/>
    <mergeCell ref="G214:H214"/>
    <mergeCell ref="A215:H215"/>
    <mergeCell ref="A216:H216"/>
    <mergeCell ref="A217:H217"/>
    <mergeCell ref="E223:H223"/>
    <mergeCell ref="A224:A225"/>
    <mergeCell ref="B224:B225"/>
    <mergeCell ref="C224:C225"/>
    <mergeCell ref="D224:D225"/>
    <mergeCell ref="E224:H224"/>
    <mergeCell ref="E225:H225"/>
    <mergeCell ref="A226:H226"/>
    <mergeCell ref="A227:A229"/>
    <mergeCell ref="B227:F227"/>
    <mergeCell ref="G227:H227"/>
    <mergeCell ref="B228:C228"/>
    <mergeCell ref="E228:F228"/>
    <mergeCell ref="G228:H228"/>
    <mergeCell ref="G229:H229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39:H239"/>
    <mergeCell ref="G240:H240"/>
    <mergeCell ref="G241:H241"/>
    <mergeCell ref="G242:H242"/>
    <mergeCell ref="G243:H243"/>
    <mergeCell ref="G244:H244"/>
    <mergeCell ref="G245:H245"/>
    <mergeCell ref="G246:H246"/>
    <mergeCell ref="G247:H247"/>
    <mergeCell ref="G248:H248"/>
    <mergeCell ref="A249:H249"/>
    <mergeCell ref="A250:H250"/>
    <mergeCell ref="A251:H251"/>
    <mergeCell ref="E257:H257"/>
    <mergeCell ref="A258:A259"/>
    <mergeCell ref="B258:B259"/>
    <mergeCell ref="C258:C259"/>
    <mergeCell ref="D258:D259"/>
    <mergeCell ref="E258:H258"/>
    <mergeCell ref="E259:H259"/>
    <mergeCell ref="A260:H260"/>
    <mergeCell ref="A261:A263"/>
    <mergeCell ref="B261:F261"/>
    <mergeCell ref="G261:H261"/>
    <mergeCell ref="B262:C262"/>
    <mergeCell ref="E262:F262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74:H274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A283:H283"/>
    <mergeCell ref="A284:H284"/>
    <mergeCell ref="A285:H285"/>
    <mergeCell ref="E290:H290"/>
    <mergeCell ref="A291:A292"/>
    <mergeCell ref="B291:B292"/>
    <mergeCell ref="C291:C292"/>
    <mergeCell ref="D291:D292"/>
    <mergeCell ref="E291:H291"/>
    <mergeCell ref="E292:H292"/>
    <mergeCell ref="A293:H293"/>
    <mergeCell ref="A294:A296"/>
    <mergeCell ref="B294:F294"/>
    <mergeCell ref="G294:H294"/>
    <mergeCell ref="B295:C295"/>
    <mergeCell ref="E295:F295"/>
    <mergeCell ref="G295:H295"/>
    <mergeCell ref="G296:H296"/>
    <mergeCell ref="G297:H297"/>
    <mergeCell ref="G298:H298"/>
    <mergeCell ref="G299:H299"/>
    <mergeCell ref="G300:H300"/>
    <mergeCell ref="G301:H301"/>
    <mergeCell ref="G302:H302"/>
    <mergeCell ref="G303:H303"/>
    <mergeCell ref="G304:H304"/>
    <mergeCell ref="G305:H305"/>
    <mergeCell ref="G306:H306"/>
    <mergeCell ref="A316:H316"/>
    <mergeCell ref="A317:H317"/>
    <mergeCell ref="A318:H318"/>
    <mergeCell ref="G307:H307"/>
    <mergeCell ref="G308:H308"/>
    <mergeCell ref="G309:H309"/>
    <mergeCell ref="G310:H310"/>
    <mergeCell ref="G311:H311"/>
    <mergeCell ref="G312:H312"/>
    <mergeCell ref="G313:H313"/>
    <mergeCell ref="G314:H314"/>
    <mergeCell ref="G315:H315"/>
    <mergeCell ref="E323:H323"/>
    <mergeCell ref="A324:A325"/>
    <mergeCell ref="B324:B325"/>
    <mergeCell ref="C324:C325"/>
    <mergeCell ref="D324:D325"/>
    <mergeCell ref="E324:H324"/>
    <mergeCell ref="E325:H325"/>
    <mergeCell ref="A326:H326"/>
    <mergeCell ref="A327:A329"/>
    <mergeCell ref="B327:F327"/>
    <mergeCell ref="G327:H327"/>
    <mergeCell ref="B328:C328"/>
    <mergeCell ref="E328:F328"/>
    <mergeCell ref="G328:H328"/>
    <mergeCell ref="G329:H329"/>
    <mergeCell ref="G330:H330"/>
    <mergeCell ref="G331:H331"/>
    <mergeCell ref="G332:H332"/>
    <mergeCell ref="G333:H333"/>
    <mergeCell ref="G334:H334"/>
    <mergeCell ref="G335:H335"/>
    <mergeCell ref="G336:H336"/>
    <mergeCell ref="G337:H337"/>
    <mergeCell ref="G338:H338"/>
    <mergeCell ref="G348:H348"/>
    <mergeCell ref="A349:H349"/>
    <mergeCell ref="A350:H350"/>
    <mergeCell ref="A351:H351"/>
    <mergeCell ref="G339:H339"/>
    <mergeCell ref="G340:H340"/>
    <mergeCell ref="G341:H341"/>
    <mergeCell ref="G342:H342"/>
    <mergeCell ref="G343:H343"/>
    <mergeCell ref="G344:H344"/>
    <mergeCell ref="G345:H345"/>
    <mergeCell ref="G346:H346"/>
    <mergeCell ref="G347:H347"/>
    <mergeCell ref="G365:H365"/>
    <mergeCell ref="G366:H366"/>
    <mergeCell ref="G367:H367"/>
    <mergeCell ref="G368:H368"/>
    <mergeCell ref="G369:H369"/>
    <mergeCell ref="G370:H370"/>
    <mergeCell ref="G371:H371"/>
    <mergeCell ref="G372:H372"/>
    <mergeCell ref="G373:H373"/>
    <mergeCell ref="E358:H358"/>
    <mergeCell ref="A359:A360"/>
    <mergeCell ref="B359:B360"/>
    <mergeCell ref="C359:C360"/>
    <mergeCell ref="D359:D360"/>
    <mergeCell ref="E359:H359"/>
    <mergeCell ref="E360:H360"/>
    <mergeCell ref="A361:H361"/>
    <mergeCell ref="A362:A364"/>
    <mergeCell ref="B362:F362"/>
    <mergeCell ref="B363:C363"/>
    <mergeCell ref="E363:F363"/>
    <mergeCell ref="G362:H362"/>
    <mergeCell ref="G363:H363"/>
    <mergeCell ref="G364:H364"/>
    <mergeCell ref="G374:H374"/>
    <mergeCell ref="G375:H375"/>
    <mergeCell ref="G376:H376"/>
    <mergeCell ref="G377:H377"/>
    <mergeCell ref="G378:H378"/>
    <mergeCell ref="G379:H379"/>
    <mergeCell ref="G380:H380"/>
    <mergeCell ref="G381:H381"/>
    <mergeCell ref="G382:H382"/>
    <mergeCell ref="B409:C409"/>
    <mergeCell ref="E409:F409"/>
    <mergeCell ref="G410:H410"/>
    <mergeCell ref="G411:H411"/>
    <mergeCell ref="G383:H383"/>
    <mergeCell ref="A384:H384"/>
    <mergeCell ref="A385:H385"/>
    <mergeCell ref="A386:H386"/>
    <mergeCell ref="E394:H394"/>
    <mergeCell ref="A395:A397"/>
    <mergeCell ref="B395:B397"/>
    <mergeCell ref="C395:C397"/>
    <mergeCell ref="D395:D397"/>
    <mergeCell ref="E395:H395"/>
    <mergeCell ref="E397:H397"/>
    <mergeCell ref="G408:H409"/>
    <mergeCell ref="A402:H402"/>
    <mergeCell ref="A407:H407"/>
    <mergeCell ref="A408:A410"/>
    <mergeCell ref="B408:F408"/>
    <mergeCell ref="A430:H432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0:H420"/>
  </mergeCells>
  <pageMargins left="0.11811023622047245" right="0.11811023622047245" top="0.15748031496062992" bottom="0.15748031496062992" header="0.31496062992125984" footer="0.31496062992125984"/>
  <pageSetup paperSize="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2"/>
  <sheetViews>
    <sheetView topLeftCell="A427" workbookViewId="0">
      <selection activeCell="A427" sqref="A1:XFD1048576"/>
    </sheetView>
  </sheetViews>
  <sheetFormatPr defaultRowHeight="15" x14ac:dyDescent="0.25"/>
  <cols>
    <col min="1" max="1" width="33.85546875" customWidth="1"/>
    <col min="2" max="2" width="26.7109375" style="10" customWidth="1"/>
    <col min="3" max="3" width="15.28515625" style="10" customWidth="1"/>
    <col min="4" max="4" width="19.42578125" style="10" customWidth="1"/>
    <col min="5" max="5" width="17.28515625" style="10" customWidth="1"/>
    <col min="6" max="6" width="10.42578125" style="10" customWidth="1"/>
    <col min="7" max="7" width="12.7109375" style="10" customWidth="1"/>
    <col min="8" max="8" width="7.5703125" style="10" customWidth="1"/>
  </cols>
  <sheetData>
    <row r="1" spans="1:9" x14ac:dyDescent="0.25">
      <c r="C1"/>
      <c r="D1"/>
      <c r="E1"/>
      <c r="F1"/>
      <c r="G1"/>
      <c r="H1"/>
    </row>
    <row r="3" spans="1:9" x14ac:dyDescent="0.25">
      <c r="A3" s="62"/>
      <c r="B3" s="63"/>
      <c r="C3" s="63"/>
      <c r="D3" s="63"/>
      <c r="E3" s="112" t="s">
        <v>29</v>
      </c>
      <c r="F3" s="112"/>
      <c r="G3" s="112"/>
      <c r="H3" s="112"/>
    </row>
    <row r="4" spans="1:9" x14ac:dyDescent="0.25">
      <c r="A4" s="113"/>
      <c r="B4" s="114"/>
      <c r="C4" s="114"/>
      <c r="D4" s="115"/>
      <c r="E4" s="115" t="s">
        <v>0</v>
      </c>
      <c r="F4" s="115"/>
      <c r="G4" s="115"/>
      <c r="H4" s="115"/>
    </row>
    <row r="5" spans="1:9" x14ac:dyDescent="0.25">
      <c r="A5" s="113"/>
      <c r="B5" s="114"/>
      <c r="C5" s="114"/>
      <c r="D5" s="115"/>
      <c r="E5" s="115" t="s">
        <v>1</v>
      </c>
      <c r="F5" s="115"/>
      <c r="G5" s="115"/>
      <c r="H5" s="115"/>
    </row>
    <row r="6" spans="1:9" ht="15.75" thickBot="1" x14ac:dyDescent="0.3">
      <c r="A6" s="98" t="s">
        <v>179</v>
      </c>
      <c r="B6" s="98"/>
      <c r="C6" s="98"/>
      <c r="D6" s="98"/>
      <c r="E6" s="98"/>
      <c r="F6" s="98"/>
      <c r="G6" s="99"/>
      <c r="H6" s="99"/>
    </row>
    <row r="7" spans="1:9" ht="15.75" thickBot="1" x14ac:dyDescent="0.3">
      <c r="A7" s="100" t="s">
        <v>2</v>
      </c>
      <c r="B7" s="103" t="s">
        <v>30</v>
      </c>
      <c r="C7" s="104"/>
      <c r="D7" s="104"/>
      <c r="E7" s="104"/>
      <c r="F7" s="104"/>
      <c r="G7" s="105" t="s">
        <v>3</v>
      </c>
      <c r="H7" s="106"/>
    </row>
    <row r="8" spans="1:9" ht="105.75" thickBot="1" x14ac:dyDescent="0.3">
      <c r="A8" s="101"/>
      <c r="B8" s="96" t="s">
        <v>30</v>
      </c>
      <c r="C8" s="107"/>
      <c r="D8" s="60" t="s">
        <v>32</v>
      </c>
      <c r="E8" s="107" t="s">
        <v>4</v>
      </c>
      <c r="F8" s="97"/>
      <c r="G8" s="108"/>
      <c r="H8" s="109"/>
    </row>
    <row r="9" spans="1:9" ht="150.75" thickBot="1" x14ac:dyDescent="0.3">
      <c r="A9" s="102"/>
      <c r="B9" s="64" t="s">
        <v>36</v>
      </c>
      <c r="C9" s="64" t="s">
        <v>5</v>
      </c>
      <c r="D9" s="64" t="s">
        <v>33</v>
      </c>
      <c r="E9" s="64" t="s">
        <v>34</v>
      </c>
      <c r="F9" s="64" t="s">
        <v>35</v>
      </c>
      <c r="G9" s="110"/>
      <c r="H9" s="111"/>
    </row>
    <row r="10" spans="1:9" ht="15.75" thickBot="1" x14ac:dyDescent="0.3">
      <c r="A10" s="59">
        <v>1</v>
      </c>
      <c r="B10" s="64">
        <v>2</v>
      </c>
      <c r="C10" s="11">
        <v>3</v>
      </c>
      <c r="D10" s="64">
        <v>4</v>
      </c>
      <c r="E10" s="11">
        <v>5</v>
      </c>
      <c r="F10" s="64">
        <v>6</v>
      </c>
      <c r="G10" s="96" t="s">
        <v>37</v>
      </c>
      <c r="H10" s="97"/>
    </row>
    <row r="11" spans="1:9" ht="60.75" thickBot="1" x14ac:dyDescent="0.3">
      <c r="A11" s="2" t="s">
        <v>7</v>
      </c>
      <c r="B11" s="6">
        <f>B12</f>
        <v>17216.28</v>
      </c>
      <c r="C11" s="12"/>
      <c r="D11" s="6">
        <f>D12</f>
        <v>5436.7200000000012</v>
      </c>
      <c r="E11" s="8" t="s">
        <v>8</v>
      </c>
      <c r="F11" s="8" t="s">
        <v>8</v>
      </c>
      <c r="G11" s="90">
        <f>18441-140+2099+401+1039+722+91</f>
        <v>22653</v>
      </c>
      <c r="H11" s="91"/>
    </row>
    <row r="12" spans="1:9" ht="15.75" thickBot="1" x14ac:dyDescent="0.3">
      <c r="A12" s="3" t="s">
        <v>9</v>
      </c>
      <c r="B12" s="6">
        <f>G12*76%</f>
        <v>17216.28</v>
      </c>
      <c r="C12" s="12"/>
      <c r="D12" s="61">
        <f>G12-B12</f>
        <v>5436.7200000000012</v>
      </c>
      <c r="E12" s="8" t="s">
        <v>8</v>
      </c>
      <c r="F12" s="8" t="s">
        <v>8</v>
      </c>
      <c r="G12" s="90">
        <f>G11-G13</f>
        <v>22653</v>
      </c>
      <c r="H12" s="91"/>
      <c r="I12">
        <f>G12/K19</f>
        <v>0.73606056667533137</v>
      </c>
    </row>
    <row r="13" spans="1:9" ht="15.75" thickBot="1" x14ac:dyDescent="0.3">
      <c r="A13" s="2" t="s">
        <v>10</v>
      </c>
      <c r="B13" s="6">
        <v>0</v>
      </c>
      <c r="C13" s="12"/>
      <c r="D13" s="6">
        <v>0</v>
      </c>
      <c r="E13" s="8" t="s">
        <v>8</v>
      </c>
      <c r="F13" s="8" t="s">
        <v>8</v>
      </c>
      <c r="G13" s="90"/>
      <c r="H13" s="91"/>
    </row>
    <row r="14" spans="1:9" ht="60.75" thickBot="1" x14ac:dyDescent="0.3">
      <c r="A14" s="2" t="s">
        <v>11</v>
      </c>
      <c r="B14" s="6">
        <f>G14*76%</f>
        <v>5996.4</v>
      </c>
      <c r="C14" s="12"/>
      <c r="D14" s="61">
        <f>G14-B14</f>
        <v>1893.6000000000004</v>
      </c>
      <c r="E14" s="8" t="s">
        <v>8</v>
      </c>
      <c r="F14" s="8" t="s">
        <v>8</v>
      </c>
      <c r="G14" s="90">
        <f>6541-93+855+43+353+158+33</f>
        <v>7890</v>
      </c>
      <c r="H14" s="91"/>
      <c r="I14">
        <f>G14/K19</f>
        <v>0.25636859890824021</v>
      </c>
    </row>
    <row r="15" spans="1:9" ht="30.75" thickBot="1" x14ac:dyDescent="0.3">
      <c r="A15" s="2" t="s">
        <v>12</v>
      </c>
      <c r="B15" s="6">
        <f>G15*76%</f>
        <v>177.08</v>
      </c>
      <c r="C15" s="12"/>
      <c r="D15" s="61">
        <f>G15-B15</f>
        <v>55.919999999999987</v>
      </c>
      <c r="E15" s="8" t="s">
        <v>8</v>
      </c>
      <c r="F15" s="8" t="s">
        <v>8</v>
      </c>
      <c r="G15" s="90">
        <f>140+93</f>
        <v>233</v>
      </c>
      <c r="H15" s="91"/>
      <c r="I15">
        <f>G15/K19</f>
        <v>7.5708344164283859E-3</v>
      </c>
    </row>
    <row r="16" spans="1:9" ht="15.75" thickBot="1" x14ac:dyDescent="0.3">
      <c r="A16" s="2" t="s">
        <v>13</v>
      </c>
      <c r="B16" s="6">
        <f>G16*56%</f>
        <v>0</v>
      </c>
      <c r="C16" s="6"/>
      <c r="D16" s="61">
        <f>G16-B16</f>
        <v>0</v>
      </c>
      <c r="E16" s="8" t="s">
        <v>8</v>
      </c>
      <c r="F16" s="8" t="s">
        <v>8</v>
      </c>
      <c r="G16" s="90">
        <v>0</v>
      </c>
      <c r="H16" s="91"/>
    </row>
    <row r="17" spans="1:11" ht="30.75" thickBot="1" x14ac:dyDescent="0.3">
      <c r="A17" s="2" t="s">
        <v>14</v>
      </c>
      <c r="B17" s="6">
        <f>G17*56%</f>
        <v>1289.68</v>
      </c>
      <c r="C17" s="6"/>
      <c r="D17" s="61">
        <f>G17-B17</f>
        <v>1013.3199999999999</v>
      </c>
      <c r="E17" s="8" t="s">
        <v>8</v>
      </c>
      <c r="F17" s="8" t="s">
        <v>8</v>
      </c>
      <c r="G17" s="90">
        <v>2303</v>
      </c>
      <c r="H17" s="91"/>
    </row>
    <row r="18" spans="1:11" ht="45.75" thickBot="1" x14ac:dyDescent="0.3">
      <c r="A18" s="2" t="s">
        <v>15</v>
      </c>
      <c r="B18" s="8" t="s">
        <v>8</v>
      </c>
      <c r="C18" s="8" t="s">
        <v>8</v>
      </c>
      <c r="D18" s="6"/>
      <c r="E18" s="8" t="s">
        <v>8</v>
      </c>
      <c r="F18" s="8" t="s">
        <v>8</v>
      </c>
      <c r="G18" s="90"/>
      <c r="H18" s="91"/>
    </row>
    <row r="19" spans="1:11" ht="15.75" thickBot="1" x14ac:dyDescent="0.3">
      <c r="A19" s="2" t="s">
        <v>16</v>
      </c>
      <c r="B19" s="8" t="s">
        <v>8</v>
      </c>
      <c r="C19" s="8" t="s">
        <v>8</v>
      </c>
      <c r="D19" s="12"/>
      <c r="E19" s="6">
        <v>3000</v>
      </c>
      <c r="F19" s="6"/>
      <c r="G19" s="90">
        <v>3000</v>
      </c>
      <c r="H19" s="91"/>
      <c r="I19" s="10">
        <f>G11+G14+G15</f>
        <v>30776</v>
      </c>
      <c r="K19" s="10">
        <f>G12+G14+G15</f>
        <v>30776</v>
      </c>
    </row>
    <row r="20" spans="1:11" ht="15.75" thickBot="1" x14ac:dyDescent="0.3">
      <c r="A20" s="3" t="s">
        <v>17</v>
      </c>
      <c r="B20" s="6">
        <f>G20*56%</f>
        <v>0</v>
      </c>
      <c r="C20" s="8"/>
      <c r="D20" s="6"/>
      <c r="E20" s="6">
        <f>G20-B20</f>
        <v>0</v>
      </c>
      <c r="F20" s="6"/>
      <c r="G20" s="90">
        <v>0</v>
      </c>
      <c r="H20" s="91"/>
      <c r="I20">
        <f>12116.67+2512.3</f>
        <v>14628.970000000001</v>
      </c>
    </row>
    <row r="21" spans="1:11" ht="15.75" thickBot="1" x14ac:dyDescent="0.3">
      <c r="A21" s="3" t="s">
        <v>18</v>
      </c>
      <c r="B21" s="6"/>
      <c r="C21" s="8"/>
      <c r="D21" s="8"/>
      <c r="E21" s="6"/>
      <c r="F21" s="6"/>
      <c r="G21" s="90"/>
      <c r="H21" s="91"/>
      <c r="I21" s="10">
        <f>I20-G11-G14-G15</f>
        <v>-16147.029999999999</v>
      </c>
    </row>
    <row r="22" spans="1:11" ht="45.75" thickBot="1" x14ac:dyDescent="0.3">
      <c r="A22" s="2" t="s">
        <v>19</v>
      </c>
      <c r="B22" s="6"/>
      <c r="C22" s="8"/>
      <c r="D22" s="6"/>
      <c r="E22" s="6"/>
      <c r="F22" s="6"/>
      <c r="G22" s="94"/>
      <c r="H22" s="95"/>
    </row>
    <row r="23" spans="1:11" ht="45.75" thickBot="1" x14ac:dyDescent="0.3">
      <c r="A23" s="2" t="s">
        <v>20</v>
      </c>
      <c r="B23" s="6">
        <f>G23*56%</f>
        <v>234.64000000000001</v>
      </c>
      <c r="C23" s="8"/>
      <c r="D23" s="6"/>
      <c r="E23" s="6">
        <f>G23-B23</f>
        <v>184.35999999999999</v>
      </c>
      <c r="F23" s="6"/>
      <c r="G23" s="90">
        <v>419</v>
      </c>
      <c r="H23" s="91"/>
    </row>
    <row r="24" spans="1:11" ht="30.75" thickBot="1" x14ac:dyDescent="0.3">
      <c r="A24" s="2" t="s">
        <v>21</v>
      </c>
      <c r="B24" s="6">
        <f>G24*56%</f>
        <v>1034.8800000000001</v>
      </c>
      <c r="C24" s="6"/>
      <c r="D24" s="61">
        <f>G24-B24</f>
        <v>813.11999999999989</v>
      </c>
      <c r="E24" s="8" t="s">
        <v>8</v>
      </c>
      <c r="F24" s="8" t="s">
        <v>8</v>
      </c>
      <c r="G24" s="90">
        <v>1848</v>
      </c>
      <c r="H24" s="91"/>
    </row>
    <row r="25" spans="1:11" ht="15.75" thickBot="1" x14ac:dyDescent="0.3">
      <c r="A25" s="3" t="s">
        <v>22</v>
      </c>
      <c r="B25" s="6">
        <f>G25*56%</f>
        <v>20.160000000000004</v>
      </c>
      <c r="C25" s="6"/>
      <c r="D25" s="61">
        <f>G25-B25</f>
        <v>15.839999999999996</v>
      </c>
      <c r="E25" s="8" t="s">
        <v>8</v>
      </c>
      <c r="F25" s="8" t="s">
        <v>8</v>
      </c>
      <c r="G25" s="90">
        <v>36</v>
      </c>
      <c r="H25" s="91"/>
    </row>
    <row r="26" spans="1:11" ht="15.75" thickBot="1" x14ac:dyDescent="0.3">
      <c r="A26" s="3" t="s">
        <v>23</v>
      </c>
      <c r="B26" s="8" t="s">
        <v>8</v>
      </c>
      <c r="C26" s="12"/>
      <c r="D26" s="8" t="s">
        <v>8</v>
      </c>
      <c r="E26" s="8" t="s">
        <v>8</v>
      </c>
      <c r="F26" s="8" t="s">
        <v>8</v>
      </c>
      <c r="G26" s="94"/>
      <c r="H26" s="95"/>
    </row>
    <row r="27" spans="1:11" ht="15.75" thickBot="1" x14ac:dyDescent="0.3">
      <c r="A27" s="3" t="s">
        <v>24</v>
      </c>
      <c r="B27" s="6">
        <f>G27*56%</f>
        <v>0</v>
      </c>
      <c r="C27" s="6"/>
      <c r="D27" s="6"/>
      <c r="E27" s="8" t="s">
        <v>8</v>
      </c>
      <c r="F27" s="8" t="s">
        <v>8</v>
      </c>
      <c r="G27" s="90"/>
      <c r="H27" s="91"/>
    </row>
    <row r="28" spans="1:11" ht="15.75" thickBot="1" x14ac:dyDescent="0.3">
      <c r="A28" s="4" t="s">
        <v>25</v>
      </c>
      <c r="B28" s="6">
        <f>SUM(B12:B27)</f>
        <v>25969.120000000003</v>
      </c>
      <c r="C28" s="6"/>
      <c r="D28" s="6">
        <f>SUM(D12:D27)</f>
        <v>9228.52</v>
      </c>
      <c r="E28" s="6">
        <f>SUM(E12:E27)</f>
        <v>3184.36</v>
      </c>
      <c r="F28" s="6"/>
      <c r="G28" s="90">
        <f>SUM(G12:H27)</f>
        <v>38382</v>
      </c>
      <c r="H28" s="91"/>
    </row>
    <row r="29" spans="1:11" x14ac:dyDescent="0.25">
      <c r="A29" s="92" t="s">
        <v>26</v>
      </c>
      <c r="B29" s="92"/>
      <c r="C29" s="92"/>
      <c r="D29" s="92"/>
      <c r="E29" s="92"/>
      <c r="F29" s="92"/>
      <c r="G29" s="92"/>
      <c r="H29" s="92"/>
    </row>
    <row r="30" spans="1:11" x14ac:dyDescent="0.25">
      <c r="A30" s="93" t="s">
        <v>27</v>
      </c>
      <c r="B30" s="93"/>
      <c r="C30" s="93"/>
      <c r="D30" s="93"/>
      <c r="E30" s="93"/>
      <c r="F30" s="93"/>
      <c r="G30" s="93"/>
      <c r="H30" s="93"/>
    </row>
    <row r="31" spans="1:11" x14ac:dyDescent="0.25">
      <c r="A31" s="93" t="s">
        <v>28</v>
      </c>
      <c r="B31" s="93"/>
      <c r="C31" s="93"/>
      <c r="D31" s="93"/>
      <c r="E31" s="93"/>
      <c r="F31" s="93"/>
      <c r="G31" s="93"/>
      <c r="H31" s="93"/>
    </row>
    <row r="32" spans="1:11" x14ac:dyDescent="0.25">
      <c r="A32" s="1"/>
      <c r="B32" s="9"/>
      <c r="C32" s="9"/>
      <c r="D32" s="9"/>
      <c r="E32" s="9"/>
      <c r="F32" s="9"/>
      <c r="G32" s="9"/>
      <c r="H32" s="9"/>
    </row>
    <row r="33" spans="1:8" ht="15.75" x14ac:dyDescent="0.25">
      <c r="A33" s="5"/>
      <c r="B33" s="13" t="s">
        <v>180</v>
      </c>
      <c r="C33" s="13">
        <v>30500</v>
      </c>
    </row>
    <row r="34" spans="1:8" x14ac:dyDescent="0.25">
      <c r="B34" s="10">
        <f>C33-B28</f>
        <v>4530.8799999999974</v>
      </c>
      <c r="C34"/>
      <c r="D34"/>
      <c r="E34"/>
      <c r="F34"/>
      <c r="G34"/>
      <c r="H34"/>
    </row>
    <row r="41" spans="1:8" x14ac:dyDescent="0.25">
      <c r="A41" s="62"/>
      <c r="B41" s="63"/>
      <c r="C41" s="63"/>
      <c r="D41" s="63"/>
      <c r="E41" s="112" t="s">
        <v>29</v>
      </c>
      <c r="F41" s="112"/>
      <c r="G41" s="112"/>
      <c r="H41" s="112"/>
    </row>
    <row r="42" spans="1:8" x14ac:dyDescent="0.25">
      <c r="A42" s="113"/>
      <c r="B42" s="114"/>
      <c r="C42" s="114"/>
      <c r="D42" s="115"/>
      <c r="E42" s="115" t="s">
        <v>0</v>
      </c>
      <c r="F42" s="115"/>
      <c r="G42" s="115"/>
      <c r="H42" s="115"/>
    </row>
    <row r="43" spans="1:8" x14ac:dyDescent="0.25">
      <c r="A43" s="113"/>
      <c r="B43" s="114"/>
      <c r="C43" s="114"/>
      <c r="D43" s="115"/>
      <c r="E43" s="115" t="s">
        <v>1</v>
      </c>
      <c r="F43" s="115"/>
      <c r="G43" s="115"/>
      <c r="H43" s="115"/>
    </row>
    <row r="44" spans="1:8" ht="15.75" thickBot="1" x14ac:dyDescent="0.3">
      <c r="A44" s="98" t="s">
        <v>181</v>
      </c>
      <c r="B44" s="98"/>
      <c r="C44" s="98"/>
      <c r="D44" s="98"/>
      <c r="E44" s="98"/>
      <c r="F44" s="98"/>
      <c r="G44" s="99"/>
      <c r="H44" s="99"/>
    </row>
    <row r="45" spans="1:8" ht="15.75" thickBot="1" x14ac:dyDescent="0.3">
      <c r="A45" s="100" t="s">
        <v>2</v>
      </c>
      <c r="B45" s="103" t="s">
        <v>30</v>
      </c>
      <c r="C45" s="104"/>
      <c r="D45" s="104"/>
      <c r="E45" s="104"/>
      <c r="F45" s="104"/>
      <c r="G45" s="105" t="s">
        <v>3</v>
      </c>
      <c r="H45" s="106"/>
    </row>
    <row r="46" spans="1:8" ht="105.75" thickBot="1" x14ac:dyDescent="0.3">
      <c r="A46" s="101"/>
      <c r="B46" s="96" t="s">
        <v>30</v>
      </c>
      <c r="C46" s="107"/>
      <c r="D46" s="60" t="s">
        <v>32</v>
      </c>
      <c r="E46" s="107" t="s">
        <v>4</v>
      </c>
      <c r="F46" s="97"/>
      <c r="G46" s="108"/>
      <c r="H46" s="109"/>
    </row>
    <row r="47" spans="1:8" ht="150.75" thickBot="1" x14ac:dyDescent="0.3">
      <c r="A47" s="102"/>
      <c r="B47" s="64" t="s">
        <v>36</v>
      </c>
      <c r="C47" s="64" t="s">
        <v>5</v>
      </c>
      <c r="D47" s="64" t="s">
        <v>33</v>
      </c>
      <c r="E47" s="64" t="s">
        <v>34</v>
      </c>
      <c r="F47" s="64" t="s">
        <v>35</v>
      </c>
      <c r="G47" s="110"/>
      <c r="H47" s="111"/>
    </row>
    <row r="48" spans="1:8" ht="15.75" thickBot="1" x14ac:dyDescent="0.3">
      <c r="A48" s="59">
        <v>1</v>
      </c>
      <c r="B48" s="64">
        <v>2</v>
      </c>
      <c r="C48" s="11">
        <v>3</v>
      </c>
      <c r="D48" s="64">
        <v>4</v>
      </c>
      <c r="E48" s="11">
        <v>5</v>
      </c>
      <c r="F48" s="64">
        <v>6</v>
      </c>
      <c r="G48" s="96" t="s">
        <v>37</v>
      </c>
      <c r="H48" s="97"/>
    </row>
    <row r="49" spans="1:9" ht="60.75" thickBot="1" x14ac:dyDescent="0.3">
      <c r="A49" s="2" t="s">
        <v>7</v>
      </c>
      <c r="B49" s="6">
        <f>B50</f>
        <v>34234.199999999997</v>
      </c>
      <c r="C49" s="12"/>
      <c r="D49" s="6">
        <f>D50</f>
        <v>10810.800000000003</v>
      </c>
      <c r="E49" s="8" t="s">
        <v>8</v>
      </c>
      <c r="F49" s="8" t="s">
        <v>8</v>
      </c>
      <c r="G49" s="90">
        <f>36674-279+4190+785+1425+181+2069</f>
        <v>45045</v>
      </c>
      <c r="H49" s="91"/>
    </row>
    <row r="50" spans="1:9" ht="15.75" thickBot="1" x14ac:dyDescent="0.3">
      <c r="A50" s="3" t="s">
        <v>9</v>
      </c>
      <c r="B50" s="6">
        <f>G50*76%</f>
        <v>34234.199999999997</v>
      </c>
      <c r="C50" s="12"/>
      <c r="D50" s="61">
        <f>G50-B50</f>
        <v>10810.800000000003</v>
      </c>
      <c r="E50" s="8" t="s">
        <v>8</v>
      </c>
      <c r="F50" s="8" t="s">
        <v>8</v>
      </c>
      <c r="G50" s="90">
        <f>G49-G51</f>
        <v>45045</v>
      </c>
      <c r="H50" s="91"/>
    </row>
    <row r="51" spans="1:9" ht="15.75" thickBot="1" x14ac:dyDescent="0.3">
      <c r="A51" s="2" t="s">
        <v>10</v>
      </c>
      <c r="B51" s="6">
        <v>0</v>
      </c>
      <c r="C51" s="12"/>
      <c r="D51" s="6">
        <v>0</v>
      </c>
      <c r="E51" s="8" t="s">
        <v>8</v>
      </c>
      <c r="F51" s="8" t="s">
        <v>8</v>
      </c>
      <c r="G51" s="90"/>
      <c r="H51" s="91"/>
    </row>
    <row r="52" spans="1:9" ht="60.75" thickBot="1" x14ac:dyDescent="0.3">
      <c r="A52" s="2" t="s">
        <v>11</v>
      </c>
      <c r="B52" s="6">
        <f>G52*76%</f>
        <v>11958.6</v>
      </c>
      <c r="C52" s="12"/>
      <c r="D52" s="61">
        <f>G52-B52</f>
        <v>3776.3999999999996</v>
      </c>
      <c r="E52" s="8" t="s">
        <v>8</v>
      </c>
      <c r="F52" s="8" t="s">
        <v>8</v>
      </c>
      <c r="G52" s="90">
        <f>13092-190-54+1709+88+315+66+709</f>
        <v>15735</v>
      </c>
      <c r="H52" s="91"/>
    </row>
    <row r="53" spans="1:9" ht="30.75" thickBot="1" x14ac:dyDescent="0.3">
      <c r="A53" s="2" t="s">
        <v>12</v>
      </c>
      <c r="B53" s="6">
        <f>G53*76%</f>
        <v>390.64</v>
      </c>
      <c r="C53" s="12"/>
      <c r="D53" s="61">
        <f>G53-B53</f>
        <v>123.36000000000001</v>
      </c>
      <c r="E53" s="8" t="s">
        <v>8</v>
      </c>
      <c r="F53" s="8" t="s">
        <v>8</v>
      </c>
      <c r="G53" s="90">
        <f>279+190+45</f>
        <v>514</v>
      </c>
      <c r="H53" s="91"/>
      <c r="I53" s="10">
        <f>G49+G52+G53</f>
        <v>61294</v>
      </c>
    </row>
    <row r="54" spans="1:9" ht="15.75" thickBot="1" x14ac:dyDescent="0.3">
      <c r="A54" s="2" t="s">
        <v>13</v>
      </c>
      <c r="B54" s="6">
        <f>G54*56%</f>
        <v>0</v>
      </c>
      <c r="C54" s="6"/>
      <c r="D54" s="61">
        <f>G54-B54</f>
        <v>0</v>
      </c>
      <c r="E54" s="8" t="s">
        <v>8</v>
      </c>
      <c r="F54" s="8" t="s">
        <v>8</v>
      </c>
      <c r="G54" s="90">
        <v>0</v>
      </c>
      <c r="H54" s="91"/>
      <c r="I54" s="10">
        <f>30208-I53</f>
        <v>-31086</v>
      </c>
    </row>
    <row r="55" spans="1:9" ht="30.75" thickBot="1" x14ac:dyDescent="0.3">
      <c r="A55" s="2" t="s">
        <v>14</v>
      </c>
      <c r="B55" s="6">
        <f>G55*56%</f>
        <v>2253.44</v>
      </c>
      <c r="C55" s="6"/>
      <c r="D55" s="61">
        <f>G55-B55</f>
        <v>1770.56</v>
      </c>
      <c r="E55" s="8" t="s">
        <v>8</v>
      </c>
      <c r="F55" s="8" t="s">
        <v>8</v>
      </c>
      <c r="G55" s="90">
        <v>4024</v>
      </c>
      <c r="H55" s="91"/>
    </row>
    <row r="56" spans="1:9" ht="45.75" thickBot="1" x14ac:dyDescent="0.3">
      <c r="A56" s="2" t="s">
        <v>15</v>
      </c>
      <c r="B56" s="8" t="s">
        <v>8</v>
      </c>
      <c r="C56" s="8" t="s">
        <v>8</v>
      </c>
      <c r="D56" s="6"/>
      <c r="E56" s="8" t="s">
        <v>8</v>
      </c>
      <c r="F56" s="8" t="s">
        <v>8</v>
      </c>
      <c r="G56" s="90"/>
      <c r="H56" s="91"/>
    </row>
    <row r="57" spans="1:9" ht="15.75" thickBot="1" x14ac:dyDescent="0.3">
      <c r="A57" s="2" t="s">
        <v>16</v>
      </c>
      <c r="B57" s="8" t="s">
        <v>8</v>
      </c>
      <c r="C57" s="8" t="s">
        <v>8</v>
      </c>
      <c r="D57" s="12"/>
      <c r="E57" s="6">
        <v>3000</v>
      </c>
      <c r="F57" s="6"/>
      <c r="G57" s="90">
        <v>6000</v>
      </c>
      <c r="H57" s="91"/>
    </row>
    <row r="58" spans="1:9" ht="15.75" thickBot="1" x14ac:dyDescent="0.3">
      <c r="A58" s="3" t="s">
        <v>17</v>
      </c>
      <c r="B58" s="6">
        <f>G58*56%</f>
        <v>0</v>
      </c>
      <c r="C58" s="8"/>
      <c r="D58" s="6"/>
      <c r="E58" s="6">
        <f>G58-B58</f>
        <v>0</v>
      </c>
      <c r="F58" s="6"/>
      <c r="G58" s="90">
        <v>0</v>
      </c>
      <c r="H58" s="91"/>
    </row>
    <row r="59" spans="1:9" ht="15.75" thickBot="1" x14ac:dyDescent="0.3">
      <c r="A59" s="3" t="s">
        <v>18</v>
      </c>
      <c r="B59" s="6"/>
      <c r="C59" s="8"/>
      <c r="D59" s="8"/>
      <c r="E59" s="6"/>
      <c r="F59" s="6"/>
      <c r="G59" s="90"/>
      <c r="H59" s="91"/>
    </row>
    <row r="60" spans="1:9" ht="45.75" thickBot="1" x14ac:dyDescent="0.3">
      <c r="A60" s="2" t="s">
        <v>19</v>
      </c>
      <c r="B60" s="6"/>
      <c r="C60" s="8"/>
      <c r="D60" s="6"/>
      <c r="E60" s="6"/>
      <c r="F60" s="6"/>
      <c r="G60" s="94"/>
      <c r="H60" s="95"/>
    </row>
    <row r="61" spans="1:9" ht="45.75" thickBot="1" x14ac:dyDescent="0.3">
      <c r="A61" s="2" t="s">
        <v>20</v>
      </c>
      <c r="B61" s="6">
        <f>G61*56%</f>
        <v>469.28000000000003</v>
      </c>
      <c r="C61" s="8"/>
      <c r="D61" s="6"/>
      <c r="E61" s="6">
        <f>G61-B61</f>
        <v>368.71999999999997</v>
      </c>
      <c r="F61" s="6"/>
      <c r="G61" s="90">
        <v>838</v>
      </c>
      <c r="H61" s="91"/>
    </row>
    <row r="62" spans="1:9" ht="30.75" thickBot="1" x14ac:dyDescent="0.3">
      <c r="A62" s="2" t="s">
        <v>21</v>
      </c>
      <c r="B62" s="6">
        <f>G62*56%</f>
        <v>2825.2000000000003</v>
      </c>
      <c r="C62" s="6"/>
      <c r="D62" s="61">
        <f>G62-B62</f>
        <v>2219.7999999999997</v>
      </c>
      <c r="E62" s="8" t="s">
        <v>8</v>
      </c>
      <c r="F62" s="8" t="s">
        <v>8</v>
      </c>
      <c r="G62" s="90">
        <v>5045</v>
      </c>
      <c r="H62" s="91"/>
    </row>
    <row r="63" spans="1:9" ht="15.75" thickBot="1" x14ac:dyDescent="0.3">
      <c r="A63" s="3" t="s">
        <v>22</v>
      </c>
      <c r="B63" s="6">
        <f>G63*56%</f>
        <v>39.760000000000005</v>
      </c>
      <c r="C63" s="6"/>
      <c r="D63" s="61">
        <f>G63-B63</f>
        <v>31.239999999999995</v>
      </c>
      <c r="E63" s="8" t="s">
        <v>8</v>
      </c>
      <c r="F63" s="8" t="s">
        <v>8</v>
      </c>
      <c r="G63" s="90">
        <v>71</v>
      </c>
      <c r="H63" s="91"/>
    </row>
    <row r="64" spans="1:9" ht="15.75" thickBot="1" x14ac:dyDescent="0.3">
      <c r="A64" s="3" t="s">
        <v>23</v>
      </c>
      <c r="B64" s="8" t="s">
        <v>8</v>
      </c>
      <c r="C64" s="12"/>
      <c r="D64" s="8" t="s">
        <v>8</v>
      </c>
      <c r="E64" s="8" t="s">
        <v>8</v>
      </c>
      <c r="F64" s="8" t="s">
        <v>8</v>
      </c>
      <c r="G64" s="94"/>
      <c r="H64" s="95"/>
    </row>
    <row r="65" spans="1:8" ht="15.75" thickBot="1" x14ac:dyDescent="0.3">
      <c r="A65" s="3" t="s">
        <v>24</v>
      </c>
      <c r="B65" s="6">
        <f>G65*56%</f>
        <v>0</v>
      </c>
      <c r="C65" s="6"/>
      <c r="D65" s="6"/>
      <c r="E65" s="8" t="s">
        <v>8</v>
      </c>
      <c r="F65" s="8" t="s">
        <v>8</v>
      </c>
      <c r="G65" s="90"/>
      <c r="H65" s="91"/>
    </row>
    <row r="66" spans="1:8" ht="15.75" thickBot="1" x14ac:dyDescent="0.3">
      <c r="A66" s="4" t="s">
        <v>25</v>
      </c>
      <c r="B66" s="6">
        <f>SUM(B50:B65)</f>
        <v>52171.119999999995</v>
      </c>
      <c r="C66" s="6"/>
      <c r="D66" s="6">
        <f>SUM(D50:D65)</f>
        <v>18732.160000000003</v>
      </c>
      <c r="E66" s="6">
        <f>SUM(E50:E65)</f>
        <v>3368.72</v>
      </c>
      <c r="F66" s="6"/>
      <c r="G66" s="90">
        <f>SUM(G50:H65)</f>
        <v>77272</v>
      </c>
      <c r="H66" s="91"/>
    </row>
    <row r="67" spans="1:8" x14ac:dyDescent="0.25">
      <c r="A67" s="92" t="s">
        <v>26</v>
      </c>
      <c r="B67" s="92"/>
      <c r="C67" s="92"/>
      <c r="D67" s="92"/>
      <c r="E67" s="92"/>
      <c r="F67" s="92"/>
      <c r="G67" s="92"/>
      <c r="H67" s="92"/>
    </row>
    <row r="68" spans="1:8" x14ac:dyDescent="0.25">
      <c r="A68" s="93" t="s">
        <v>27</v>
      </c>
      <c r="B68" s="93"/>
      <c r="C68" s="93"/>
      <c r="D68" s="93"/>
      <c r="E68" s="93"/>
      <c r="F68" s="93"/>
      <c r="G68" s="93"/>
      <c r="H68" s="93"/>
    </row>
    <row r="69" spans="1:8" x14ac:dyDescent="0.25">
      <c r="A69" s="93" t="s">
        <v>28</v>
      </c>
      <c r="B69" s="93"/>
      <c r="C69" s="93"/>
      <c r="D69" s="93"/>
      <c r="E69" s="93"/>
      <c r="F69" s="93"/>
      <c r="G69" s="93"/>
      <c r="H69" s="93"/>
    </row>
    <row r="70" spans="1:8" x14ac:dyDescent="0.25">
      <c r="A70" s="1"/>
      <c r="B70" s="9"/>
      <c r="C70" s="9"/>
      <c r="D70" s="9"/>
      <c r="E70" s="9"/>
      <c r="F70" s="9"/>
      <c r="G70" s="9"/>
      <c r="H70" s="9"/>
    </row>
    <row r="71" spans="1:8" ht="15.75" x14ac:dyDescent="0.25">
      <c r="A71" s="5"/>
      <c r="B71" s="13" t="s">
        <v>182</v>
      </c>
      <c r="C71" s="13">
        <v>62060</v>
      </c>
    </row>
    <row r="73" spans="1:8" x14ac:dyDescent="0.25">
      <c r="B73" s="10">
        <f>C71-B66</f>
        <v>9888.8800000000047</v>
      </c>
      <c r="C73"/>
      <c r="D73"/>
      <c r="E73"/>
      <c r="F73"/>
      <c r="G73"/>
      <c r="H73"/>
    </row>
    <row r="77" spans="1:8" x14ac:dyDescent="0.25">
      <c r="A77" s="62"/>
      <c r="B77" s="63"/>
      <c r="C77" s="63"/>
      <c r="D77" s="63"/>
      <c r="E77" s="112" t="s">
        <v>29</v>
      </c>
      <c r="F77" s="112"/>
      <c r="G77" s="112"/>
      <c r="H77" s="112"/>
    </row>
    <row r="78" spans="1:8" x14ac:dyDescent="0.25">
      <c r="A78" s="113"/>
      <c r="B78" s="114"/>
      <c r="C78" s="114"/>
      <c r="D78" s="115"/>
      <c r="E78" s="115" t="s">
        <v>0</v>
      </c>
      <c r="F78" s="115"/>
      <c r="G78" s="115"/>
      <c r="H78" s="115"/>
    </row>
    <row r="79" spans="1:8" x14ac:dyDescent="0.25">
      <c r="A79" s="113"/>
      <c r="B79" s="114"/>
      <c r="C79" s="114"/>
      <c r="D79" s="115"/>
      <c r="E79" s="115" t="s">
        <v>1</v>
      </c>
      <c r="F79" s="115"/>
      <c r="G79" s="115"/>
      <c r="H79" s="115"/>
    </row>
    <row r="80" spans="1:8" ht="15.75" thickBot="1" x14ac:dyDescent="0.3">
      <c r="A80" s="98" t="s">
        <v>183</v>
      </c>
      <c r="B80" s="98"/>
      <c r="C80" s="98"/>
      <c r="D80" s="98"/>
      <c r="E80" s="98"/>
      <c r="F80" s="98"/>
      <c r="G80" s="99"/>
      <c r="H80" s="99"/>
    </row>
    <row r="81" spans="1:9" ht="15.75" thickBot="1" x14ac:dyDescent="0.3">
      <c r="A81" s="100" t="s">
        <v>2</v>
      </c>
      <c r="B81" s="103" t="s">
        <v>30</v>
      </c>
      <c r="C81" s="104"/>
      <c r="D81" s="104"/>
      <c r="E81" s="104"/>
      <c r="F81" s="104"/>
      <c r="G81" s="105" t="s">
        <v>3</v>
      </c>
      <c r="H81" s="106"/>
    </row>
    <row r="82" spans="1:9" ht="105.75" thickBot="1" x14ac:dyDescent="0.3">
      <c r="A82" s="101"/>
      <c r="B82" s="96" t="s">
        <v>30</v>
      </c>
      <c r="C82" s="107"/>
      <c r="D82" s="60" t="s">
        <v>32</v>
      </c>
      <c r="E82" s="107" t="s">
        <v>4</v>
      </c>
      <c r="F82" s="97"/>
      <c r="G82" s="108"/>
      <c r="H82" s="109"/>
    </row>
    <row r="83" spans="1:9" ht="150.75" thickBot="1" x14ac:dyDescent="0.3">
      <c r="A83" s="102"/>
      <c r="B83" s="64" t="s">
        <v>36</v>
      </c>
      <c r="C83" s="64" t="s">
        <v>5</v>
      </c>
      <c r="D83" s="64" t="s">
        <v>33</v>
      </c>
      <c r="E83" s="64" t="s">
        <v>34</v>
      </c>
      <c r="F83" s="64" t="s">
        <v>35</v>
      </c>
      <c r="G83" s="110"/>
      <c r="H83" s="111"/>
    </row>
    <row r="84" spans="1:9" ht="15.75" thickBot="1" x14ac:dyDescent="0.3">
      <c r="A84" s="59">
        <v>1</v>
      </c>
      <c r="B84" s="64">
        <v>2</v>
      </c>
      <c r="C84" s="11">
        <v>3</v>
      </c>
      <c r="D84" s="64">
        <v>4</v>
      </c>
      <c r="E84" s="11">
        <v>5</v>
      </c>
      <c r="F84" s="64">
        <v>6</v>
      </c>
      <c r="G84" s="96" t="s">
        <v>37</v>
      </c>
      <c r="H84" s="97"/>
    </row>
    <row r="85" spans="1:9" ht="60.75" thickBot="1" x14ac:dyDescent="0.3">
      <c r="A85" s="2" t="s">
        <v>7</v>
      </c>
      <c r="B85" s="6">
        <f>B86</f>
        <v>51161.68</v>
      </c>
      <c r="C85" s="12"/>
      <c r="D85" s="6">
        <f>D86</f>
        <v>16156.32</v>
      </c>
      <c r="E85" s="8" t="s">
        <v>8</v>
      </c>
      <c r="F85" s="8" t="s">
        <v>8</v>
      </c>
      <c r="G85" s="90">
        <f>55295-439-553+6326+1171+2140+273+3218-113</f>
        <v>67318</v>
      </c>
      <c r="H85" s="91"/>
    </row>
    <row r="86" spans="1:9" ht="15.75" thickBot="1" x14ac:dyDescent="0.3">
      <c r="A86" s="3" t="s">
        <v>9</v>
      </c>
      <c r="B86" s="6">
        <f>G86*76%</f>
        <v>51161.68</v>
      </c>
      <c r="C86" s="12"/>
      <c r="D86" s="61">
        <f>G86-B86</f>
        <v>16156.32</v>
      </c>
      <c r="E86" s="8" t="s">
        <v>8</v>
      </c>
      <c r="F86" s="8" t="s">
        <v>8</v>
      </c>
      <c r="G86" s="90">
        <f>G85</f>
        <v>67318</v>
      </c>
      <c r="H86" s="91"/>
    </row>
    <row r="87" spans="1:9" ht="15.75" thickBot="1" x14ac:dyDescent="0.3">
      <c r="A87" s="2" t="s">
        <v>10</v>
      </c>
      <c r="B87" s="6">
        <v>0</v>
      </c>
      <c r="C87" s="12"/>
      <c r="D87" s="6">
        <v>0</v>
      </c>
      <c r="E87" s="8" t="s">
        <v>8</v>
      </c>
      <c r="F87" s="8" t="s">
        <v>8</v>
      </c>
      <c r="G87" s="90"/>
      <c r="H87" s="91"/>
    </row>
    <row r="88" spans="1:9" ht="60.75" thickBot="1" x14ac:dyDescent="0.3">
      <c r="A88" s="2" t="s">
        <v>11</v>
      </c>
      <c r="B88" s="6">
        <f>G88*76%</f>
        <v>18028.72</v>
      </c>
      <c r="C88" s="12"/>
      <c r="D88" s="61">
        <f>G88-B88</f>
        <v>5693.2799999999988</v>
      </c>
      <c r="E88" s="8" t="s">
        <v>8</v>
      </c>
      <c r="F88" s="8" t="s">
        <v>8</v>
      </c>
      <c r="G88" s="90">
        <f>19716-279-54+2573+132+470+99+1065</f>
        <v>23722</v>
      </c>
      <c r="H88" s="91"/>
    </row>
    <row r="89" spans="1:9" ht="30.75" thickBot="1" x14ac:dyDescent="0.3">
      <c r="A89" s="2" t="s">
        <v>12</v>
      </c>
      <c r="B89" s="6">
        <f>G89*76%</f>
        <v>1007</v>
      </c>
      <c r="C89" s="12"/>
      <c r="D89" s="61">
        <f>G89-B89</f>
        <v>318</v>
      </c>
      <c r="E89" s="8" t="s">
        <v>8</v>
      </c>
      <c r="F89" s="8" t="s">
        <v>8</v>
      </c>
      <c r="G89" s="90">
        <f>279+54+439+553</f>
        <v>1325</v>
      </c>
      <c r="H89" s="91"/>
      <c r="I89" s="10">
        <f>G85+G88+G89</f>
        <v>92365</v>
      </c>
    </row>
    <row r="90" spans="1:9" ht="15.75" thickBot="1" x14ac:dyDescent="0.3">
      <c r="A90" s="2" t="s">
        <v>13</v>
      </c>
      <c r="B90" s="6">
        <f>G90*56%</f>
        <v>0</v>
      </c>
      <c r="C90" s="6"/>
      <c r="D90" s="61">
        <f>G90-B90</f>
        <v>0</v>
      </c>
      <c r="E90" s="8" t="s">
        <v>8</v>
      </c>
      <c r="F90" s="8" t="s">
        <v>8</v>
      </c>
      <c r="G90" s="90">
        <v>0</v>
      </c>
      <c r="H90" s="91"/>
      <c r="I90">
        <f>37982+8321</f>
        <v>46303</v>
      </c>
    </row>
    <row r="91" spans="1:9" ht="30.75" thickBot="1" x14ac:dyDescent="0.3">
      <c r="A91" s="2" t="s">
        <v>14</v>
      </c>
      <c r="B91" s="6">
        <f>G91*56%</f>
        <v>3894.2400000000002</v>
      </c>
      <c r="C91" s="6"/>
      <c r="D91" s="61">
        <f>G91-B91</f>
        <v>3059.7599999999998</v>
      </c>
      <c r="E91" s="8" t="s">
        <v>8</v>
      </c>
      <c r="F91" s="8" t="s">
        <v>8</v>
      </c>
      <c r="G91" s="90">
        <v>6954</v>
      </c>
      <c r="H91" s="91"/>
    </row>
    <row r="92" spans="1:9" ht="45.75" thickBot="1" x14ac:dyDescent="0.3">
      <c r="A92" s="2" t="s">
        <v>15</v>
      </c>
      <c r="B92" s="8" t="s">
        <v>8</v>
      </c>
      <c r="C92" s="8" t="s">
        <v>8</v>
      </c>
      <c r="D92" s="6"/>
      <c r="E92" s="8" t="s">
        <v>8</v>
      </c>
      <c r="F92" s="8" t="s">
        <v>8</v>
      </c>
      <c r="G92" s="90"/>
      <c r="H92" s="91"/>
    </row>
    <row r="93" spans="1:9" ht="15.75" thickBot="1" x14ac:dyDescent="0.3">
      <c r="A93" s="2" t="s">
        <v>16</v>
      </c>
      <c r="B93" s="8" t="s">
        <v>8</v>
      </c>
      <c r="C93" s="8" t="s">
        <v>8</v>
      </c>
      <c r="D93" s="12"/>
      <c r="E93" s="6">
        <v>4500</v>
      </c>
      <c r="F93" s="6"/>
      <c r="G93" s="90">
        <v>9000</v>
      </c>
      <c r="H93" s="91"/>
    </row>
    <row r="94" spans="1:9" ht="15.75" thickBot="1" x14ac:dyDescent="0.3">
      <c r="A94" s="3" t="s">
        <v>17</v>
      </c>
      <c r="B94" s="6">
        <f>G94*56%</f>
        <v>0</v>
      </c>
      <c r="C94" s="8"/>
      <c r="D94" s="6"/>
      <c r="E94" s="6">
        <f>G94-B94</f>
        <v>0</v>
      </c>
      <c r="F94" s="6"/>
      <c r="G94" s="90">
        <v>0</v>
      </c>
      <c r="H94" s="91"/>
    </row>
    <row r="95" spans="1:9" ht="15.75" thickBot="1" x14ac:dyDescent="0.3">
      <c r="A95" s="3" t="s">
        <v>18</v>
      </c>
      <c r="B95" s="6"/>
      <c r="C95" s="8"/>
      <c r="D95" s="8"/>
      <c r="E95" s="6"/>
      <c r="F95" s="6"/>
      <c r="G95" s="90"/>
      <c r="H95" s="91"/>
    </row>
    <row r="96" spans="1:9" ht="45.75" thickBot="1" x14ac:dyDescent="0.3">
      <c r="A96" s="2" t="s">
        <v>19</v>
      </c>
      <c r="B96" s="6"/>
      <c r="C96" s="8"/>
      <c r="D96" s="6"/>
      <c r="E96" s="6"/>
      <c r="F96" s="6"/>
      <c r="G96" s="94">
        <v>0</v>
      </c>
      <c r="H96" s="95"/>
    </row>
    <row r="97" spans="1:8" ht="45.75" thickBot="1" x14ac:dyDescent="0.3">
      <c r="A97" s="2" t="s">
        <v>20</v>
      </c>
      <c r="B97" s="6">
        <f>G97*56%</f>
        <v>703.92000000000007</v>
      </c>
      <c r="C97" s="8"/>
      <c r="D97" s="6"/>
      <c r="E97" s="6">
        <f>G97-B97</f>
        <v>553.07999999999993</v>
      </c>
      <c r="F97" s="6"/>
      <c r="G97" s="90">
        <v>1257</v>
      </c>
      <c r="H97" s="91"/>
    </row>
    <row r="98" spans="1:8" ht="30.75" thickBot="1" x14ac:dyDescent="0.3">
      <c r="A98" s="2" t="s">
        <v>21</v>
      </c>
      <c r="B98" s="6">
        <f>G98*56%</f>
        <v>6544.1600000000008</v>
      </c>
      <c r="C98" s="6"/>
      <c r="D98" s="61">
        <f>G98-B98</f>
        <v>5141.8399999999992</v>
      </c>
      <c r="E98" s="8" t="s">
        <v>8</v>
      </c>
      <c r="F98" s="8" t="s">
        <v>8</v>
      </c>
      <c r="G98" s="90">
        <v>11686</v>
      </c>
      <c r="H98" s="91"/>
    </row>
    <row r="99" spans="1:8" ht="15.75" thickBot="1" x14ac:dyDescent="0.3">
      <c r="A99" s="3" t="s">
        <v>22</v>
      </c>
      <c r="B99" s="6">
        <f>G99*56%</f>
        <v>59.360000000000007</v>
      </c>
      <c r="C99" s="6"/>
      <c r="D99" s="61">
        <f>G99-B99</f>
        <v>46.639999999999993</v>
      </c>
      <c r="E99" s="8" t="s">
        <v>8</v>
      </c>
      <c r="F99" s="8" t="s">
        <v>8</v>
      </c>
      <c r="G99" s="90">
        <v>106</v>
      </c>
      <c r="H99" s="91"/>
    </row>
    <row r="100" spans="1:8" ht="15.75" thickBot="1" x14ac:dyDescent="0.3">
      <c r="A100" s="3" t="s">
        <v>23</v>
      </c>
      <c r="B100" s="8" t="s">
        <v>8</v>
      </c>
      <c r="C100" s="12"/>
      <c r="D100" s="8" t="s">
        <v>8</v>
      </c>
      <c r="E100" s="8" t="s">
        <v>8</v>
      </c>
      <c r="F100" s="8" t="s">
        <v>8</v>
      </c>
      <c r="G100" s="94"/>
      <c r="H100" s="95"/>
    </row>
    <row r="101" spans="1:8" ht="15.75" thickBot="1" x14ac:dyDescent="0.3">
      <c r="A101" s="3" t="s">
        <v>24</v>
      </c>
      <c r="B101" s="6">
        <f>G101*56%</f>
        <v>0</v>
      </c>
      <c r="C101" s="6"/>
      <c r="D101" s="6"/>
      <c r="E101" s="8" t="s">
        <v>8</v>
      </c>
      <c r="F101" s="8" t="s">
        <v>8</v>
      </c>
      <c r="G101" s="90"/>
      <c r="H101" s="91"/>
    </row>
    <row r="102" spans="1:8" ht="15.75" thickBot="1" x14ac:dyDescent="0.3">
      <c r="A102" s="4" t="s">
        <v>25</v>
      </c>
      <c r="B102" s="6">
        <f>SUM(B86:B101)</f>
        <v>81399.08</v>
      </c>
      <c r="C102" s="6"/>
      <c r="D102" s="6">
        <f>SUM(D86:D101)</f>
        <v>30415.839999999997</v>
      </c>
      <c r="E102" s="6">
        <f>SUM(E86:E101)</f>
        <v>5053.08</v>
      </c>
      <c r="F102" s="6"/>
      <c r="G102" s="90">
        <f>SUM(G86:H101)</f>
        <v>121368</v>
      </c>
      <c r="H102" s="91"/>
    </row>
    <row r="103" spans="1:8" x14ac:dyDescent="0.25">
      <c r="A103" s="92" t="s">
        <v>26</v>
      </c>
      <c r="B103" s="92"/>
      <c r="C103" s="92"/>
      <c r="D103" s="92"/>
      <c r="E103" s="92"/>
      <c r="F103" s="92"/>
      <c r="G103" s="92"/>
      <c r="H103" s="92"/>
    </row>
    <row r="104" spans="1:8" x14ac:dyDescent="0.25">
      <c r="A104" s="93" t="s">
        <v>27</v>
      </c>
      <c r="B104" s="93"/>
      <c r="C104" s="93"/>
      <c r="D104" s="93"/>
      <c r="E104" s="93"/>
      <c r="F104" s="93"/>
      <c r="G104" s="93"/>
      <c r="H104" s="93"/>
    </row>
    <row r="105" spans="1:8" x14ac:dyDescent="0.25">
      <c r="A105" s="93" t="s">
        <v>28</v>
      </c>
      <c r="B105" s="93"/>
      <c r="C105" s="93"/>
      <c r="D105" s="93"/>
      <c r="E105" s="93"/>
      <c r="F105" s="93"/>
      <c r="G105" s="93"/>
      <c r="H105" s="93"/>
    </row>
    <row r="106" spans="1:8" x14ac:dyDescent="0.25">
      <c r="A106" s="1"/>
      <c r="B106" s="9"/>
      <c r="C106" s="9"/>
      <c r="D106" s="9"/>
      <c r="E106" s="9"/>
      <c r="F106" s="9"/>
      <c r="G106" s="9"/>
      <c r="H106" s="9"/>
    </row>
    <row r="107" spans="1:8" ht="15.75" x14ac:dyDescent="0.25">
      <c r="A107" s="5"/>
    </row>
    <row r="108" spans="1:8" x14ac:dyDescent="0.25">
      <c r="B108" s="13" t="s">
        <v>184</v>
      </c>
      <c r="C108" s="13">
        <v>93090</v>
      </c>
    </row>
    <row r="109" spans="1:8" x14ac:dyDescent="0.25">
      <c r="B109" s="10">
        <f>C108-B102</f>
        <v>11690.919999999998</v>
      </c>
      <c r="C109"/>
      <c r="D109"/>
      <c r="E109"/>
      <c r="F109"/>
      <c r="G109"/>
      <c r="H109"/>
    </row>
    <row r="116" spans="1:9" x14ac:dyDescent="0.25">
      <c r="A116" s="62"/>
      <c r="B116" s="63"/>
      <c r="C116" s="63"/>
      <c r="D116" s="63"/>
      <c r="E116" s="112" t="s">
        <v>29</v>
      </c>
      <c r="F116" s="112"/>
      <c r="G116" s="112"/>
      <c r="H116" s="112"/>
    </row>
    <row r="117" spans="1:9" x14ac:dyDescent="0.25">
      <c r="A117" s="113"/>
      <c r="B117" s="114"/>
      <c r="C117" s="114"/>
      <c r="D117" s="115"/>
      <c r="E117" s="115" t="s">
        <v>0</v>
      </c>
      <c r="F117" s="115"/>
      <c r="G117" s="115"/>
      <c r="H117" s="115"/>
    </row>
    <row r="118" spans="1:9" x14ac:dyDescent="0.25">
      <c r="A118" s="113"/>
      <c r="B118" s="114"/>
      <c r="C118" s="114"/>
      <c r="D118" s="115"/>
      <c r="E118" s="115" t="s">
        <v>1</v>
      </c>
      <c r="F118" s="115"/>
      <c r="G118" s="115"/>
      <c r="H118" s="115"/>
    </row>
    <row r="119" spans="1:9" ht="15.75" thickBot="1" x14ac:dyDescent="0.3">
      <c r="A119" s="98" t="s">
        <v>185</v>
      </c>
      <c r="B119" s="98"/>
      <c r="C119" s="98"/>
      <c r="D119" s="98"/>
      <c r="E119" s="98"/>
      <c r="F119" s="98"/>
      <c r="G119" s="99"/>
      <c r="H119" s="99"/>
    </row>
    <row r="120" spans="1:9" ht="15.75" thickBot="1" x14ac:dyDescent="0.3">
      <c r="A120" s="100" t="s">
        <v>2</v>
      </c>
      <c r="B120" s="103" t="s">
        <v>30</v>
      </c>
      <c r="C120" s="104"/>
      <c r="D120" s="104"/>
      <c r="E120" s="104"/>
      <c r="F120" s="104"/>
      <c r="G120" s="105" t="s">
        <v>3</v>
      </c>
      <c r="H120" s="106"/>
    </row>
    <row r="121" spans="1:9" ht="105.75" thickBot="1" x14ac:dyDescent="0.3">
      <c r="A121" s="101"/>
      <c r="B121" s="96" t="s">
        <v>30</v>
      </c>
      <c r="C121" s="107"/>
      <c r="D121" s="60" t="s">
        <v>32</v>
      </c>
      <c r="E121" s="107" t="s">
        <v>4</v>
      </c>
      <c r="F121" s="97"/>
      <c r="G121" s="108"/>
      <c r="H121" s="109"/>
    </row>
    <row r="122" spans="1:9" ht="150.75" thickBot="1" x14ac:dyDescent="0.3">
      <c r="A122" s="102"/>
      <c r="B122" s="64" t="s">
        <v>36</v>
      </c>
      <c r="C122" s="64" t="s">
        <v>5</v>
      </c>
      <c r="D122" s="64" t="s">
        <v>33</v>
      </c>
      <c r="E122" s="64" t="s">
        <v>34</v>
      </c>
      <c r="F122" s="64" t="s">
        <v>35</v>
      </c>
      <c r="G122" s="110"/>
      <c r="H122" s="111"/>
    </row>
    <row r="123" spans="1:9" ht="15.75" thickBot="1" x14ac:dyDescent="0.3">
      <c r="A123" s="59">
        <v>1</v>
      </c>
      <c r="B123" s="64">
        <v>2</v>
      </c>
      <c r="C123" s="11">
        <v>3</v>
      </c>
      <c r="D123" s="64">
        <v>4</v>
      </c>
      <c r="E123" s="11">
        <v>5</v>
      </c>
      <c r="F123" s="64">
        <v>6</v>
      </c>
      <c r="G123" s="96" t="s">
        <v>37</v>
      </c>
      <c r="H123" s="97"/>
    </row>
    <row r="124" spans="1:9" ht="60.75" thickBot="1" x14ac:dyDescent="0.3">
      <c r="A124" s="2" t="s">
        <v>7</v>
      </c>
      <c r="B124" s="6">
        <f>B125</f>
        <v>68496.52</v>
      </c>
      <c r="C124" s="12"/>
      <c r="D124" s="6">
        <f>D125</f>
        <v>21630.479999999996</v>
      </c>
      <c r="E124" s="8" t="s">
        <v>8</v>
      </c>
      <c r="F124" s="8" t="s">
        <v>8</v>
      </c>
      <c r="G124" s="90">
        <f>74187-567-582-327+8473+1573+2856+366+4148</f>
        <v>90127</v>
      </c>
      <c r="H124" s="91"/>
    </row>
    <row r="125" spans="1:9" ht="15.75" thickBot="1" x14ac:dyDescent="0.3">
      <c r="A125" s="3" t="s">
        <v>9</v>
      </c>
      <c r="B125" s="6">
        <f>G125*76%</f>
        <v>68496.52</v>
      </c>
      <c r="C125" s="12"/>
      <c r="D125" s="61">
        <f>G125-B125</f>
        <v>21630.479999999996</v>
      </c>
      <c r="E125" s="8" t="s">
        <v>8</v>
      </c>
      <c r="F125" s="8" t="s">
        <v>8</v>
      </c>
      <c r="G125" s="90">
        <f>G124-G126</f>
        <v>90127</v>
      </c>
      <c r="H125" s="91"/>
    </row>
    <row r="126" spans="1:9" ht="15.75" thickBot="1" x14ac:dyDescent="0.3">
      <c r="A126" s="2" t="s">
        <v>10</v>
      </c>
      <c r="B126" s="6">
        <v>0</v>
      </c>
      <c r="C126" s="12"/>
      <c r="D126" s="6">
        <v>0</v>
      </c>
      <c r="E126" s="8" t="s">
        <v>8</v>
      </c>
      <c r="F126" s="8" t="s">
        <v>8</v>
      </c>
      <c r="G126" s="90"/>
      <c r="H126" s="91"/>
    </row>
    <row r="127" spans="1:9" ht="60.75" thickBot="1" x14ac:dyDescent="0.3">
      <c r="A127" s="2" t="s">
        <v>11</v>
      </c>
      <c r="B127" s="6">
        <f>G127*76%</f>
        <v>24236.400000000001</v>
      </c>
      <c r="C127" s="12"/>
      <c r="D127" s="61">
        <f>G127-B127</f>
        <v>7653.5999999999985</v>
      </c>
      <c r="E127" s="8" t="s">
        <v>8</v>
      </c>
      <c r="F127" s="8" t="s">
        <v>8</v>
      </c>
      <c r="G127" s="90">
        <f>26499-342-54+3450+185+620+133+1399</f>
        <v>31890</v>
      </c>
      <c r="H127" s="91"/>
    </row>
    <row r="128" spans="1:9" ht="30.75" thickBot="1" x14ac:dyDescent="0.3">
      <c r="A128" s="2" t="s">
        <v>12</v>
      </c>
      <c r="B128" s="6">
        <f>G128*76%</f>
        <v>1422.72</v>
      </c>
      <c r="C128" s="12"/>
      <c r="D128" s="61">
        <f>G128-B128</f>
        <v>449.28</v>
      </c>
      <c r="E128" s="8" t="s">
        <v>8</v>
      </c>
      <c r="F128" s="8" t="s">
        <v>8</v>
      </c>
      <c r="G128" s="90">
        <f>342+54+567+582+327</f>
        <v>1872</v>
      </c>
      <c r="H128" s="91"/>
      <c r="I128" s="10">
        <f>G128+G127+G124</f>
        <v>123889</v>
      </c>
    </row>
    <row r="129" spans="1:8" ht="15.75" thickBot="1" x14ac:dyDescent="0.3">
      <c r="A129" s="2" t="s">
        <v>13</v>
      </c>
      <c r="B129" s="6">
        <f>G129*56%</f>
        <v>0</v>
      </c>
      <c r="C129" s="6"/>
      <c r="D129" s="61">
        <f>G129-B129</f>
        <v>0</v>
      </c>
      <c r="E129" s="8" t="s">
        <v>8</v>
      </c>
      <c r="F129" s="8" t="s">
        <v>8</v>
      </c>
      <c r="G129" s="90">
        <v>0</v>
      </c>
      <c r="H129" s="91"/>
    </row>
    <row r="130" spans="1:8" ht="30.75" thickBot="1" x14ac:dyDescent="0.3">
      <c r="A130" s="2" t="s">
        <v>14</v>
      </c>
      <c r="B130" s="6">
        <f>G130*56%</f>
        <v>5542.88</v>
      </c>
      <c r="C130" s="6"/>
      <c r="D130" s="61">
        <f>G130-B130</f>
        <v>4355.12</v>
      </c>
      <c r="E130" s="8" t="s">
        <v>8</v>
      </c>
      <c r="F130" s="8" t="s">
        <v>8</v>
      </c>
      <c r="G130" s="90">
        <v>9898</v>
      </c>
      <c r="H130" s="91"/>
    </row>
    <row r="131" spans="1:8" ht="45.75" thickBot="1" x14ac:dyDescent="0.3">
      <c r="A131" s="2" t="s">
        <v>15</v>
      </c>
      <c r="B131" s="8" t="s">
        <v>8</v>
      </c>
      <c r="C131" s="8" t="s">
        <v>8</v>
      </c>
      <c r="D131" s="6"/>
      <c r="E131" s="8" t="s">
        <v>8</v>
      </c>
      <c r="F131" s="8" t="s">
        <v>8</v>
      </c>
      <c r="G131" s="90"/>
      <c r="H131" s="91"/>
    </row>
    <row r="132" spans="1:8" ht="15.75" thickBot="1" x14ac:dyDescent="0.3">
      <c r="A132" s="2" t="s">
        <v>16</v>
      </c>
      <c r="B132" s="8" t="s">
        <v>8</v>
      </c>
      <c r="C132" s="8" t="s">
        <v>8</v>
      </c>
      <c r="D132" s="12"/>
      <c r="E132" s="6">
        <v>6000</v>
      </c>
      <c r="F132" s="6"/>
      <c r="G132" s="90">
        <v>12000</v>
      </c>
      <c r="H132" s="91"/>
    </row>
    <row r="133" spans="1:8" ht="15.75" thickBot="1" x14ac:dyDescent="0.3">
      <c r="A133" s="3" t="s">
        <v>17</v>
      </c>
      <c r="B133" s="6">
        <f>G133*56%</f>
        <v>0</v>
      </c>
      <c r="C133" s="8"/>
      <c r="D133" s="6"/>
      <c r="E133" s="6">
        <f>G133-B133</f>
        <v>0</v>
      </c>
      <c r="F133" s="6"/>
      <c r="G133" s="90">
        <v>0</v>
      </c>
      <c r="H133" s="91"/>
    </row>
    <row r="134" spans="1:8" ht="15.75" thickBot="1" x14ac:dyDescent="0.3">
      <c r="A134" s="3" t="s">
        <v>18</v>
      </c>
      <c r="B134" s="6"/>
      <c r="C134" s="8"/>
      <c r="D134" s="8"/>
      <c r="E134" s="6"/>
      <c r="F134" s="6"/>
      <c r="G134" s="90"/>
      <c r="H134" s="91"/>
    </row>
    <row r="135" spans="1:8" ht="45.75" thickBot="1" x14ac:dyDescent="0.3">
      <c r="A135" s="2" t="s">
        <v>19</v>
      </c>
      <c r="B135" s="6"/>
      <c r="C135" s="8"/>
      <c r="D135" s="6"/>
      <c r="E135" s="6"/>
      <c r="F135" s="6"/>
      <c r="G135" s="94"/>
      <c r="H135" s="95"/>
    </row>
    <row r="136" spans="1:8" ht="45.75" thickBot="1" x14ac:dyDescent="0.3">
      <c r="A136" s="2" t="s">
        <v>20</v>
      </c>
      <c r="B136" s="6">
        <f>G136*56%</f>
        <v>938.56000000000006</v>
      </c>
      <c r="C136" s="8"/>
      <c r="D136" s="6"/>
      <c r="E136" s="6">
        <f>G136-B136</f>
        <v>737.43999999999994</v>
      </c>
      <c r="F136" s="6"/>
      <c r="G136" s="90">
        <v>1676</v>
      </c>
      <c r="H136" s="91"/>
    </row>
    <row r="137" spans="1:8" ht="30.75" thickBot="1" x14ac:dyDescent="0.3">
      <c r="A137" s="2" t="s">
        <v>21</v>
      </c>
      <c r="B137" s="6">
        <f>G137*56%</f>
        <v>8953.2800000000007</v>
      </c>
      <c r="C137" s="6"/>
      <c r="D137" s="61">
        <f>G137-B137</f>
        <v>7034.7199999999993</v>
      </c>
      <c r="E137" s="8" t="s">
        <v>8</v>
      </c>
      <c r="F137" s="8" t="s">
        <v>8</v>
      </c>
      <c r="G137" s="90">
        <v>15988</v>
      </c>
      <c r="H137" s="91"/>
    </row>
    <row r="138" spans="1:8" ht="15.75" thickBot="1" x14ac:dyDescent="0.3">
      <c r="A138" s="3" t="s">
        <v>22</v>
      </c>
      <c r="B138" s="6">
        <f>G138*56%</f>
        <v>454.16</v>
      </c>
      <c r="C138" s="6"/>
      <c r="D138" s="61">
        <f>G138-B138</f>
        <v>356.84</v>
      </c>
      <c r="E138" s="8" t="s">
        <v>8</v>
      </c>
      <c r="F138" s="8" t="s">
        <v>8</v>
      </c>
      <c r="G138" s="90">
        <f>410+401</f>
        <v>811</v>
      </c>
      <c r="H138" s="91"/>
    </row>
    <row r="139" spans="1:8" ht="15.75" thickBot="1" x14ac:dyDescent="0.3">
      <c r="A139" s="3" t="s">
        <v>23</v>
      </c>
      <c r="B139" s="8" t="s">
        <v>8</v>
      </c>
      <c r="C139" s="12"/>
      <c r="D139" s="8" t="s">
        <v>8</v>
      </c>
      <c r="E139" s="8" t="s">
        <v>8</v>
      </c>
      <c r="F139" s="8" t="s">
        <v>8</v>
      </c>
      <c r="G139" s="94"/>
      <c r="H139" s="95"/>
    </row>
    <row r="140" spans="1:8" ht="15.75" thickBot="1" x14ac:dyDescent="0.3">
      <c r="A140" s="3" t="s">
        <v>24</v>
      </c>
      <c r="B140" s="6">
        <f>G140*56%</f>
        <v>0</v>
      </c>
      <c r="C140" s="6"/>
      <c r="D140" s="6"/>
      <c r="E140" s="8" t="s">
        <v>8</v>
      </c>
      <c r="F140" s="8" t="s">
        <v>8</v>
      </c>
      <c r="G140" s="90"/>
      <c r="H140" s="91"/>
    </row>
    <row r="141" spans="1:8" ht="15.75" thickBot="1" x14ac:dyDescent="0.3">
      <c r="A141" s="4" t="s">
        <v>25</v>
      </c>
      <c r="B141" s="6">
        <f>SUM(B125:B140)</f>
        <v>110044.52000000002</v>
      </c>
      <c r="C141" s="6"/>
      <c r="D141" s="6">
        <f>SUM(D125:D140)</f>
        <v>41480.039999999994</v>
      </c>
      <c r="E141" s="6">
        <f>SUM(E125:E140)</f>
        <v>6737.44</v>
      </c>
      <c r="F141" s="6"/>
      <c r="G141" s="90">
        <f>SUM(G125:H140)</f>
        <v>164262</v>
      </c>
      <c r="H141" s="91"/>
    </row>
    <row r="142" spans="1:8" x14ac:dyDescent="0.25">
      <c r="A142" s="92" t="s">
        <v>26</v>
      </c>
      <c r="B142" s="92"/>
      <c r="C142" s="92"/>
      <c r="D142" s="92"/>
      <c r="E142" s="92"/>
      <c r="F142" s="92"/>
      <c r="G142" s="92"/>
      <c r="H142" s="92"/>
    </row>
    <row r="143" spans="1:8" x14ac:dyDescent="0.25">
      <c r="A143" s="93" t="s">
        <v>27</v>
      </c>
      <c r="B143" s="93"/>
      <c r="C143" s="93"/>
      <c r="D143" s="93"/>
      <c r="E143" s="93"/>
      <c r="F143" s="93"/>
      <c r="G143" s="93"/>
      <c r="H143" s="93"/>
    </row>
    <row r="144" spans="1:8" x14ac:dyDescent="0.25">
      <c r="A144" s="93" t="s">
        <v>28</v>
      </c>
      <c r="B144" s="93"/>
      <c r="C144" s="93"/>
      <c r="D144" s="93"/>
      <c r="E144" s="93"/>
      <c r="F144" s="93"/>
      <c r="G144" s="93"/>
      <c r="H144" s="93"/>
    </row>
    <row r="145" spans="1:8" x14ac:dyDescent="0.25">
      <c r="A145" s="1"/>
      <c r="B145" s="9"/>
      <c r="C145" s="9"/>
      <c r="D145" s="9"/>
      <c r="E145" s="9"/>
      <c r="F145" s="9"/>
      <c r="G145" s="9"/>
      <c r="H145" s="9"/>
    </row>
    <row r="146" spans="1:8" ht="15.75" x14ac:dyDescent="0.25">
      <c r="A146" s="5"/>
    </row>
    <row r="147" spans="1:8" x14ac:dyDescent="0.25">
      <c r="B147" s="13" t="s">
        <v>186</v>
      </c>
      <c r="C147" s="13">
        <v>129859</v>
      </c>
    </row>
    <row r="148" spans="1:8" x14ac:dyDescent="0.25">
      <c r="B148" s="10">
        <f>C147-B141</f>
        <v>19814.479999999981</v>
      </c>
      <c r="C148"/>
      <c r="D148"/>
      <c r="E148"/>
      <c r="F148"/>
      <c r="G148"/>
      <c r="H148"/>
    </row>
    <row r="155" spans="1:8" x14ac:dyDescent="0.25">
      <c r="A155" s="62"/>
      <c r="B155" s="63"/>
      <c r="C155" s="63"/>
      <c r="D155" s="63"/>
      <c r="E155" s="112" t="s">
        <v>29</v>
      </c>
      <c r="F155" s="112"/>
      <c r="G155" s="112"/>
      <c r="H155" s="112"/>
    </row>
    <row r="156" spans="1:8" x14ac:dyDescent="0.25">
      <c r="A156" s="113"/>
      <c r="B156" s="114"/>
      <c r="C156" s="114"/>
      <c r="D156" s="115"/>
      <c r="E156" s="115" t="s">
        <v>0</v>
      </c>
      <c r="F156" s="115"/>
      <c r="G156" s="115"/>
      <c r="H156" s="115"/>
    </row>
    <row r="157" spans="1:8" x14ac:dyDescent="0.25">
      <c r="A157" s="113"/>
      <c r="B157" s="114"/>
      <c r="C157" s="114"/>
      <c r="D157" s="115"/>
      <c r="E157" s="115" t="s">
        <v>1</v>
      </c>
      <c r="F157" s="115"/>
      <c r="G157" s="115"/>
      <c r="H157" s="115"/>
    </row>
    <row r="158" spans="1:8" ht="15.75" thickBot="1" x14ac:dyDescent="0.3">
      <c r="A158" s="98" t="s">
        <v>187</v>
      </c>
      <c r="B158" s="98"/>
      <c r="C158" s="98"/>
      <c r="D158" s="98"/>
      <c r="E158" s="98"/>
      <c r="F158" s="98"/>
      <c r="G158" s="99"/>
      <c r="H158" s="99"/>
    </row>
    <row r="159" spans="1:8" ht="15.75" thickBot="1" x14ac:dyDescent="0.3">
      <c r="A159" s="100" t="s">
        <v>2</v>
      </c>
      <c r="B159" s="103" t="s">
        <v>30</v>
      </c>
      <c r="C159" s="104"/>
      <c r="D159" s="104"/>
      <c r="E159" s="104"/>
      <c r="F159" s="104"/>
      <c r="G159" s="105" t="s">
        <v>3</v>
      </c>
      <c r="H159" s="106"/>
    </row>
    <row r="160" spans="1:8" ht="105.75" thickBot="1" x14ac:dyDescent="0.3">
      <c r="A160" s="101"/>
      <c r="B160" s="96" t="s">
        <v>30</v>
      </c>
      <c r="C160" s="107"/>
      <c r="D160" s="60" t="s">
        <v>32</v>
      </c>
      <c r="E160" s="107" t="s">
        <v>4</v>
      </c>
      <c r="F160" s="97"/>
      <c r="G160" s="108"/>
      <c r="H160" s="109"/>
    </row>
    <row r="161" spans="1:8" ht="150.75" thickBot="1" x14ac:dyDescent="0.3">
      <c r="A161" s="102"/>
      <c r="B161" s="64" t="s">
        <v>36</v>
      </c>
      <c r="C161" s="64" t="s">
        <v>5</v>
      </c>
      <c r="D161" s="64" t="s">
        <v>33</v>
      </c>
      <c r="E161" s="64" t="s">
        <v>34</v>
      </c>
      <c r="F161" s="64" t="s">
        <v>35</v>
      </c>
      <c r="G161" s="110"/>
      <c r="H161" s="111"/>
    </row>
    <row r="162" spans="1:8" ht="15.75" thickBot="1" x14ac:dyDescent="0.3">
      <c r="A162" s="59">
        <v>1</v>
      </c>
      <c r="B162" s="64">
        <v>2</v>
      </c>
      <c r="C162" s="11">
        <v>3</v>
      </c>
      <c r="D162" s="64">
        <v>4</v>
      </c>
      <c r="E162" s="11">
        <v>5</v>
      </c>
      <c r="F162" s="64">
        <v>6</v>
      </c>
      <c r="G162" s="96" t="s">
        <v>37</v>
      </c>
      <c r="H162" s="97"/>
    </row>
    <row r="163" spans="1:8" ht="60.75" thickBot="1" x14ac:dyDescent="0.3">
      <c r="A163" s="2" t="s">
        <v>7</v>
      </c>
      <c r="B163" s="6">
        <f>B164</f>
        <v>85633.76</v>
      </c>
      <c r="C163" s="12"/>
      <c r="D163" s="6">
        <f>D164</f>
        <v>27042.240000000005</v>
      </c>
      <c r="E163" s="8" t="s">
        <v>8</v>
      </c>
      <c r="F163" s="8" t="s">
        <v>8</v>
      </c>
      <c r="G163" s="90">
        <f>92629-718-716-327+10618+1978+3569+459+5184</f>
        <v>112676</v>
      </c>
      <c r="H163" s="91"/>
    </row>
    <row r="164" spans="1:8" ht="15.75" thickBot="1" x14ac:dyDescent="0.3">
      <c r="A164" s="3" t="s">
        <v>9</v>
      </c>
      <c r="B164" s="6">
        <f>G164*76%</f>
        <v>85633.76</v>
      </c>
      <c r="C164" s="12"/>
      <c r="D164" s="61">
        <f>G164-B164</f>
        <v>27042.240000000005</v>
      </c>
      <c r="E164" s="8" t="s">
        <v>8</v>
      </c>
      <c r="F164" s="8" t="s">
        <v>8</v>
      </c>
      <c r="G164" s="90">
        <f>G163-G165</f>
        <v>112676</v>
      </c>
      <c r="H164" s="91"/>
    </row>
    <row r="165" spans="1:8" ht="15.75" thickBot="1" x14ac:dyDescent="0.3">
      <c r="A165" s="2" t="s">
        <v>10</v>
      </c>
      <c r="B165" s="6">
        <v>0</v>
      </c>
      <c r="C165" s="12"/>
      <c r="D165" s="6">
        <v>0</v>
      </c>
      <c r="E165" s="8" t="s">
        <v>8</v>
      </c>
      <c r="F165" s="8" t="s">
        <v>8</v>
      </c>
      <c r="G165" s="116"/>
      <c r="H165" s="91"/>
    </row>
    <row r="166" spans="1:8" ht="60.75" thickBot="1" x14ac:dyDescent="0.3">
      <c r="A166" s="2" t="s">
        <v>11</v>
      </c>
      <c r="B166" s="6">
        <f>G166*76%</f>
        <v>30230.52</v>
      </c>
      <c r="C166" s="12"/>
      <c r="D166" s="61">
        <f>G166-B166</f>
        <v>9546.48</v>
      </c>
      <c r="E166" s="8" t="s">
        <v>8</v>
      </c>
      <c r="F166" s="8" t="s">
        <v>8</v>
      </c>
      <c r="G166" s="90">
        <f>33066-424-54+4306+230+773+166+1714</f>
        <v>39777</v>
      </c>
      <c r="H166" s="91"/>
    </row>
    <row r="167" spans="1:8" ht="30.75" thickBot="1" x14ac:dyDescent="0.3">
      <c r="A167" s="2" t="s">
        <v>12</v>
      </c>
      <c r="B167" s="6">
        <f>G167*76%</f>
        <v>1701.64</v>
      </c>
      <c r="C167" s="12"/>
      <c r="D167" s="61">
        <f>G167-B167</f>
        <v>537.3599999999999</v>
      </c>
      <c r="E167" s="8" t="s">
        <v>8</v>
      </c>
      <c r="F167" s="8" t="s">
        <v>8</v>
      </c>
      <c r="G167" s="90">
        <f>424+54+718+716+327</f>
        <v>2239</v>
      </c>
      <c r="H167" s="91"/>
    </row>
    <row r="168" spans="1:8" ht="15.75" thickBot="1" x14ac:dyDescent="0.3">
      <c r="A168" s="2" t="s">
        <v>13</v>
      </c>
      <c r="B168" s="6">
        <f>G168*56%</f>
        <v>0</v>
      </c>
      <c r="C168" s="6"/>
      <c r="D168" s="61">
        <f>G168-B168</f>
        <v>0</v>
      </c>
      <c r="E168" s="8" t="s">
        <v>8</v>
      </c>
      <c r="F168" s="8" t="s">
        <v>8</v>
      </c>
      <c r="G168" s="90">
        <v>0</v>
      </c>
      <c r="H168" s="91"/>
    </row>
    <row r="169" spans="1:8" ht="30.75" thickBot="1" x14ac:dyDescent="0.3">
      <c r="A169" s="2" t="s">
        <v>14</v>
      </c>
      <c r="B169" s="6">
        <f>G169*56%</f>
        <v>7479.920000000001</v>
      </c>
      <c r="C169" s="6"/>
      <c r="D169" s="61">
        <f>G169-B169</f>
        <v>5877.079999999999</v>
      </c>
      <c r="E169" s="8" t="s">
        <v>8</v>
      </c>
      <c r="F169" s="8" t="s">
        <v>8</v>
      </c>
      <c r="G169" s="90">
        <v>13357</v>
      </c>
      <c r="H169" s="91"/>
    </row>
    <row r="170" spans="1:8" ht="45.75" thickBot="1" x14ac:dyDescent="0.3">
      <c r="A170" s="2" t="s">
        <v>15</v>
      </c>
      <c r="B170" s="8" t="s">
        <v>8</v>
      </c>
      <c r="C170" s="8" t="s">
        <v>8</v>
      </c>
      <c r="D170" s="6"/>
      <c r="E170" s="8" t="s">
        <v>8</v>
      </c>
      <c r="F170" s="8" t="s">
        <v>8</v>
      </c>
      <c r="G170" s="90"/>
      <c r="H170" s="91"/>
    </row>
    <row r="171" spans="1:8" ht="15.75" thickBot="1" x14ac:dyDescent="0.3">
      <c r="A171" s="2" t="s">
        <v>16</v>
      </c>
      <c r="B171" s="8" t="s">
        <v>8</v>
      </c>
      <c r="C171" s="8" t="s">
        <v>8</v>
      </c>
      <c r="D171" s="12"/>
      <c r="E171" s="6">
        <v>12000</v>
      </c>
      <c r="F171" s="6"/>
      <c r="G171" s="90">
        <v>12000</v>
      </c>
      <c r="H171" s="91"/>
    </row>
    <row r="172" spans="1:8" ht="15.75" thickBot="1" x14ac:dyDescent="0.3">
      <c r="A172" s="3" t="s">
        <v>17</v>
      </c>
      <c r="B172" s="6">
        <f>G172*56%</f>
        <v>0</v>
      </c>
      <c r="C172" s="8"/>
      <c r="D172" s="6"/>
      <c r="E172" s="6">
        <f>G172-B172</f>
        <v>0</v>
      </c>
      <c r="F172" s="6"/>
      <c r="G172" s="90">
        <v>0</v>
      </c>
      <c r="H172" s="91"/>
    </row>
    <row r="173" spans="1:8" ht="15.75" thickBot="1" x14ac:dyDescent="0.3">
      <c r="A173" s="3" t="s">
        <v>18</v>
      </c>
      <c r="B173" s="6"/>
      <c r="C173" s="8"/>
      <c r="D173" s="8"/>
      <c r="E173" s="6"/>
      <c r="F173" s="6"/>
      <c r="G173" s="90"/>
      <c r="H173" s="91"/>
    </row>
    <row r="174" spans="1:8" ht="45.75" thickBot="1" x14ac:dyDescent="0.3">
      <c r="A174" s="2" t="s">
        <v>19</v>
      </c>
      <c r="B174" s="6"/>
      <c r="C174" s="8"/>
      <c r="D174" s="6"/>
      <c r="E174" s="6"/>
      <c r="F174" s="6"/>
      <c r="G174" s="94"/>
      <c r="H174" s="95"/>
    </row>
    <row r="175" spans="1:8" ht="45.75" thickBot="1" x14ac:dyDescent="0.3">
      <c r="A175" s="2" t="s">
        <v>20</v>
      </c>
      <c r="B175" s="6">
        <f>G175*56%</f>
        <v>0</v>
      </c>
      <c r="C175" s="8"/>
      <c r="D175" s="6"/>
      <c r="E175" s="6">
        <f>G175-B175</f>
        <v>0</v>
      </c>
      <c r="F175" s="6"/>
      <c r="G175" s="90">
        <v>0</v>
      </c>
      <c r="H175" s="91"/>
    </row>
    <row r="176" spans="1:8" ht="30.75" thickBot="1" x14ac:dyDescent="0.3">
      <c r="A176" s="2" t="s">
        <v>21</v>
      </c>
      <c r="B176" s="6">
        <f>G176*56%</f>
        <v>9966.880000000001</v>
      </c>
      <c r="C176" s="6"/>
      <c r="D176" s="61">
        <f>G176-B176</f>
        <v>7831.119999999999</v>
      </c>
      <c r="E176" s="8" t="s">
        <v>8</v>
      </c>
      <c r="F176" s="8" t="s">
        <v>8</v>
      </c>
      <c r="G176" s="90">
        <v>17798</v>
      </c>
      <c r="H176" s="91"/>
    </row>
    <row r="177" spans="1:8" ht="15.75" thickBot="1" x14ac:dyDescent="0.3">
      <c r="A177" s="3" t="s">
        <v>22</v>
      </c>
      <c r="B177" s="6">
        <f>G177*56%</f>
        <v>473.76000000000005</v>
      </c>
      <c r="C177" s="6"/>
      <c r="D177" s="61">
        <f>G177-B177</f>
        <v>372.23999999999995</v>
      </c>
      <c r="E177" s="8" t="s">
        <v>8</v>
      </c>
      <c r="F177" s="8" t="s">
        <v>8</v>
      </c>
      <c r="G177" s="90">
        <f>410+436</f>
        <v>846</v>
      </c>
      <c r="H177" s="91"/>
    </row>
    <row r="178" spans="1:8" ht="15.75" thickBot="1" x14ac:dyDescent="0.3">
      <c r="A178" s="3" t="s">
        <v>23</v>
      </c>
      <c r="B178" s="8" t="s">
        <v>8</v>
      </c>
      <c r="C178" s="12"/>
      <c r="D178" s="8" t="s">
        <v>8</v>
      </c>
      <c r="E178" s="8" t="s">
        <v>8</v>
      </c>
      <c r="F178" s="8" t="s">
        <v>8</v>
      </c>
      <c r="G178" s="94"/>
      <c r="H178" s="95"/>
    </row>
    <row r="179" spans="1:8" ht="15.75" thickBot="1" x14ac:dyDescent="0.3">
      <c r="A179" s="3" t="s">
        <v>24</v>
      </c>
      <c r="B179" s="6">
        <f>G179*56%</f>
        <v>0</v>
      </c>
      <c r="C179" s="6"/>
      <c r="D179" s="6"/>
      <c r="E179" s="8" t="s">
        <v>8</v>
      </c>
      <c r="F179" s="8" t="s">
        <v>8</v>
      </c>
      <c r="G179" s="90"/>
      <c r="H179" s="91"/>
    </row>
    <row r="180" spans="1:8" ht="15.75" thickBot="1" x14ac:dyDescent="0.3">
      <c r="A180" s="4" t="s">
        <v>25</v>
      </c>
      <c r="B180" s="6">
        <f>SUM(B164:B179)</f>
        <v>135486.48000000001</v>
      </c>
      <c r="C180" s="6"/>
      <c r="D180" s="6">
        <f>SUM(D164:D179)</f>
        <v>51206.52</v>
      </c>
      <c r="E180" s="6">
        <f>SUM(E164:E179)</f>
        <v>12000</v>
      </c>
      <c r="F180" s="6"/>
      <c r="G180" s="90">
        <f>SUM(G164:H179)</f>
        <v>198693</v>
      </c>
      <c r="H180" s="91"/>
    </row>
    <row r="181" spans="1:8" x14ac:dyDescent="0.25">
      <c r="A181" s="92" t="s">
        <v>26</v>
      </c>
      <c r="B181" s="92"/>
      <c r="C181" s="92"/>
      <c r="D181" s="92"/>
      <c r="E181" s="92"/>
      <c r="F181" s="92"/>
      <c r="G181" s="92"/>
      <c r="H181" s="92"/>
    </row>
    <row r="182" spans="1:8" x14ac:dyDescent="0.25">
      <c r="A182" s="93" t="s">
        <v>27</v>
      </c>
      <c r="B182" s="93"/>
      <c r="C182" s="93"/>
      <c r="D182" s="93"/>
      <c r="E182" s="93"/>
      <c r="F182" s="93"/>
      <c r="G182" s="93"/>
      <c r="H182" s="93"/>
    </row>
    <row r="183" spans="1:8" x14ac:dyDescent="0.25">
      <c r="A183" s="93" t="s">
        <v>28</v>
      </c>
      <c r="B183" s="93"/>
      <c r="C183" s="93"/>
      <c r="D183" s="93"/>
      <c r="E183" s="93"/>
      <c r="F183" s="93"/>
      <c r="G183" s="93"/>
      <c r="H183" s="93"/>
    </row>
    <row r="184" spans="1:8" x14ac:dyDescent="0.25">
      <c r="A184" s="1"/>
      <c r="B184" s="9"/>
      <c r="C184" s="9"/>
      <c r="D184" s="9"/>
      <c r="E184" s="9"/>
      <c r="F184" s="9"/>
      <c r="G184" s="9"/>
      <c r="H184" s="9"/>
    </row>
    <row r="185" spans="1:8" ht="15.75" x14ac:dyDescent="0.25">
      <c r="A185" s="5"/>
    </row>
    <row r="186" spans="1:8" x14ac:dyDescent="0.25">
      <c r="B186" s="13" t="s">
        <v>188</v>
      </c>
      <c r="C186" s="13">
        <v>158080</v>
      </c>
    </row>
    <row r="187" spans="1:8" x14ac:dyDescent="0.25">
      <c r="C187" s="10">
        <f>C186-B180</f>
        <v>22593.51999999999</v>
      </c>
      <c r="D187"/>
      <c r="E187"/>
      <c r="F187"/>
      <c r="G187"/>
      <c r="H187"/>
    </row>
    <row r="188" spans="1:8" x14ac:dyDescent="0.25">
      <c r="D188"/>
      <c r="E188"/>
      <c r="F188"/>
      <c r="G188"/>
      <c r="H188"/>
    </row>
    <row r="189" spans="1:8" x14ac:dyDescent="0.25">
      <c r="D189"/>
      <c r="E189"/>
      <c r="F189"/>
      <c r="G189"/>
      <c r="H189"/>
    </row>
    <row r="190" spans="1:8" x14ac:dyDescent="0.25">
      <c r="D190"/>
      <c r="E190"/>
      <c r="F190"/>
      <c r="G190"/>
      <c r="H190"/>
    </row>
    <row r="191" spans="1:8" x14ac:dyDescent="0.25">
      <c r="A191" s="62"/>
      <c r="B191" s="63"/>
      <c r="C191" s="63"/>
      <c r="D191" s="63"/>
      <c r="E191" s="112" t="s">
        <v>29</v>
      </c>
      <c r="F191" s="112"/>
      <c r="G191" s="112"/>
      <c r="H191" s="112"/>
    </row>
    <row r="192" spans="1:8" x14ac:dyDescent="0.25">
      <c r="A192" s="113"/>
      <c r="B192" s="114"/>
      <c r="C192" s="114"/>
      <c r="D192" s="115"/>
      <c r="E192" s="115" t="s">
        <v>0</v>
      </c>
      <c r="F192" s="115"/>
      <c r="G192" s="115"/>
      <c r="H192" s="115"/>
    </row>
    <row r="193" spans="1:10" x14ac:dyDescent="0.25">
      <c r="A193" s="113"/>
      <c r="B193" s="114"/>
      <c r="C193" s="114"/>
      <c r="D193" s="115"/>
      <c r="E193" s="115" t="s">
        <v>1</v>
      </c>
      <c r="F193" s="115"/>
      <c r="G193" s="115"/>
      <c r="H193" s="115"/>
    </row>
    <row r="194" spans="1:10" ht="15.75" thickBot="1" x14ac:dyDescent="0.3">
      <c r="A194" s="98" t="s">
        <v>189</v>
      </c>
      <c r="B194" s="98"/>
      <c r="C194" s="98"/>
      <c r="D194" s="98"/>
      <c r="E194" s="98"/>
      <c r="F194" s="98"/>
      <c r="G194" s="99"/>
      <c r="H194" s="99"/>
    </row>
    <row r="195" spans="1:10" ht="15.75" thickBot="1" x14ac:dyDescent="0.3">
      <c r="A195" s="100" t="s">
        <v>2</v>
      </c>
      <c r="B195" s="103" t="s">
        <v>30</v>
      </c>
      <c r="C195" s="104"/>
      <c r="D195" s="104"/>
      <c r="E195" s="104"/>
      <c r="F195" s="104"/>
      <c r="G195" s="105" t="s">
        <v>3</v>
      </c>
      <c r="H195" s="106"/>
    </row>
    <row r="196" spans="1:10" ht="105.75" thickBot="1" x14ac:dyDescent="0.3">
      <c r="A196" s="101"/>
      <c r="B196" s="96" t="s">
        <v>30</v>
      </c>
      <c r="C196" s="107"/>
      <c r="D196" s="60" t="s">
        <v>32</v>
      </c>
      <c r="E196" s="107" t="s">
        <v>4</v>
      </c>
      <c r="F196" s="97"/>
      <c r="G196" s="108"/>
      <c r="H196" s="109"/>
    </row>
    <row r="197" spans="1:10" ht="150.75" thickBot="1" x14ac:dyDescent="0.3">
      <c r="A197" s="102"/>
      <c r="B197" s="64" t="s">
        <v>36</v>
      </c>
      <c r="C197" s="64" t="s">
        <v>5</v>
      </c>
      <c r="D197" s="64" t="s">
        <v>33</v>
      </c>
      <c r="E197" s="64" t="s">
        <v>34</v>
      </c>
      <c r="F197" s="64" t="s">
        <v>35</v>
      </c>
      <c r="G197" s="110"/>
      <c r="H197" s="111"/>
    </row>
    <row r="198" spans="1:10" ht="15.75" thickBot="1" x14ac:dyDescent="0.3">
      <c r="A198" s="59">
        <v>1</v>
      </c>
      <c r="B198" s="64">
        <v>2</v>
      </c>
      <c r="C198" s="11">
        <v>3</v>
      </c>
      <c r="D198" s="64">
        <v>4</v>
      </c>
      <c r="E198" s="11">
        <v>5</v>
      </c>
      <c r="F198" s="64">
        <v>6</v>
      </c>
      <c r="G198" s="96" t="s">
        <v>37</v>
      </c>
      <c r="H198" s="97"/>
    </row>
    <row r="199" spans="1:10" ht="60.75" thickBot="1" x14ac:dyDescent="0.3">
      <c r="A199" s="2" t="s">
        <v>7</v>
      </c>
      <c r="B199" s="6">
        <f>B200</f>
        <v>102404.68000000001</v>
      </c>
      <c r="C199" s="12"/>
      <c r="D199" s="6">
        <f>D200</f>
        <v>32338.319999999992</v>
      </c>
      <c r="E199" s="8" t="s">
        <v>8</v>
      </c>
      <c r="F199" s="8" t="s">
        <v>8</v>
      </c>
      <c r="G199" s="90">
        <f>110691-862-780-347+12685+2372+4238+549+6197</f>
        <v>134743</v>
      </c>
      <c r="H199" s="91"/>
    </row>
    <row r="200" spans="1:10" ht="15.75" thickBot="1" x14ac:dyDescent="0.3">
      <c r="A200" s="3" t="s">
        <v>9</v>
      </c>
      <c r="B200" s="6">
        <f>G200*76%</f>
        <v>102404.68000000001</v>
      </c>
      <c r="C200" s="12"/>
      <c r="D200" s="61">
        <f>G200-B200</f>
        <v>32338.319999999992</v>
      </c>
      <c r="E200" s="8" t="s">
        <v>8</v>
      </c>
      <c r="F200" s="8" t="s">
        <v>8</v>
      </c>
      <c r="G200" s="90">
        <f>G199-G201</f>
        <v>134743</v>
      </c>
      <c r="H200" s="91"/>
    </row>
    <row r="201" spans="1:10" ht="15.75" thickBot="1" x14ac:dyDescent="0.3">
      <c r="A201" s="2" t="s">
        <v>10</v>
      </c>
      <c r="B201" s="6">
        <v>0</v>
      </c>
      <c r="C201" s="12"/>
      <c r="D201" s="6">
        <v>0</v>
      </c>
      <c r="E201" s="8" t="s">
        <v>8</v>
      </c>
      <c r="F201" s="8" t="s">
        <v>8</v>
      </c>
      <c r="G201" s="116"/>
      <c r="H201" s="91"/>
    </row>
    <row r="202" spans="1:10" ht="60.75" thickBot="1" x14ac:dyDescent="0.3">
      <c r="A202" s="2" t="s">
        <v>11</v>
      </c>
      <c r="B202" s="6">
        <f>G202*76%</f>
        <v>36224.639999999999</v>
      </c>
      <c r="C202" s="12"/>
      <c r="D202" s="61">
        <f>G202-B202</f>
        <v>11439.36</v>
      </c>
      <c r="E202" s="8" t="s">
        <v>8</v>
      </c>
      <c r="F202" s="8" t="s">
        <v>8</v>
      </c>
      <c r="G202" s="90">
        <f>39625-498-54+5162+275+927+198+2029</f>
        <v>47664</v>
      </c>
      <c r="H202" s="91"/>
    </row>
    <row r="203" spans="1:10" ht="30.75" thickBot="1" x14ac:dyDescent="0.3">
      <c r="A203" s="2" t="s">
        <v>12</v>
      </c>
      <c r="B203" s="6">
        <f>G203*76%</f>
        <v>1931.16</v>
      </c>
      <c r="C203" s="12"/>
      <c r="D203" s="61">
        <f>G203-B203</f>
        <v>609.83999999999992</v>
      </c>
      <c r="E203" s="8" t="s">
        <v>8</v>
      </c>
      <c r="F203" s="8" t="s">
        <v>8</v>
      </c>
      <c r="G203" s="90">
        <f>862+780+347+498+54</f>
        <v>2541</v>
      </c>
      <c r="H203" s="91"/>
    </row>
    <row r="204" spans="1:10" ht="15.75" thickBot="1" x14ac:dyDescent="0.3">
      <c r="A204" s="2" t="s">
        <v>13</v>
      </c>
      <c r="B204" s="6">
        <f>G204*56%</f>
        <v>0</v>
      </c>
      <c r="C204" s="6"/>
      <c r="D204" s="61">
        <f>G204-B204</f>
        <v>0</v>
      </c>
      <c r="E204" s="8" t="s">
        <v>8</v>
      </c>
      <c r="F204" s="8" t="s">
        <v>8</v>
      </c>
      <c r="G204" s="90">
        <v>0</v>
      </c>
      <c r="H204" s="91"/>
    </row>
    <row r="205" spans="1:10" ht="30.75" thickBot="1" x14ac:dyDescent="0.3">
      <c r="A205" s="2" t="s">
        <v>14</v>
      </c>
      <c r="B205" s="6">
        <f>G205*56%</f>
        <v>8497.44</v>
      </c>
      <c r="C205" s="6"/>
      <c r="D205" s="61">
        <f>G205-B205</f>
        <v>6676.5599999999995</v>
      </c>
      <c r="E205" s="8" t="s">
        <v>8</v>
      </c>
      <c r="F205" s="8" t="s">
        <v>8</v>
      </c>
      <c r="G205" s="90">
        <f>1817+G169</f>
        <v>15174</v>
      </c>
      <c r="H205" s="91"/>
      <c r="J205" s="10">
        <f>G203+G202+G200</f>
        <v>184948</v>
      </c>
    </row>
    <row r="206" spans="1:10" ht="45.75" thickBot="1" x14ac:dyDescent="0.3">
      <c r="A206" s="2" t="s">
        <v>15</v>
      </c>
      <c r="B206" s="8" t="s">
        <v>8</v>
      </c>
      <c r="C206" s="8" t="s">
        <v>8</v>
      </c>
      <c r="D206" s="6"/>
      <c r="E206" s="8" t="s">
        <v>8</v>
      </c>
      <c r="F206" s="8" t="s">
        <v>8</v>
      </c>
      <c r="G206" s="90"/>
      <c r="H206" s="91"/>
    </row>
    <row r="207" spans="1:10" ht="15.75" thickBot="1" x14ac:dyDescent="0.3">
      <c r="A207" s="2" t="s">
        <v>16</v>
      </c>
      <c r="B207" s="8" t="s">
        <v>8</v>
      </c>
      <c r="C207" s="8" t="s">
        <v>8</v>
      </c>
      <c r="D207" s="12"/>
      <c r="E207" s="6">
        <v>15000</v>
      </c>
      <c r="F207" s="6"/>
      <c r="G207" s="90">
        <v>15000</v>
      </c>
      <c r="H207" s="91"/>
    </row>
    <row r="208" spans="1:10" ht="15.75" thickBot="1" x14ac:dyDescent="0.3">
      <c r="A208" s="3" t="s">
        <v>17</v>
      </c>
      <c r="B208" s="6">
        <f>G208*56%</f>
        <v>0</v>
      </c>
      <c r="C208" s="8"/>
      <c r="D208" s="6"/>
      <c r="E208" s="6">
        <f>G208-B208</f>
        <v>0</v>
      </c>
      <c r="F208" s="6"/>
      <c r="G208" s="90">
        <v>0</v>
      </c>
      <c r="H208" s="91"/>
    </row>
    <row r="209" spans="1:8" ht="15.75" thickBot="1" x14ac:dyDescent="0.3">
      <c r="A209" s="3" t="s">
        <v>18</v>
      </c>
      <c r="B209" s="6"/>
      <c r="C209" s="8"/>
      <c r="D209" s="8"/>
      <c r="E209" s="6"/>
      <c r="F209" s="6"/>
      <c r="G209" s="90"/>
      <c r="H209" s="91"/>
    </row>
    <row r="210" spans="1:8" ht="45.75" thickBot="1" x14ac:dyDescent="0.3">
      <c r="A210" s="2" t="s">
        <v>19</v>
      </c>
      <c r="B210" s="6"/>
      <c r="C210" s="8"/>
      <c r="D210" s="6"/>
      <c r="E210" s="6"/>
      <c r="F210" s="6"/>
      <c r="G210" s="94"/>
      <c r="H210" s="95"/>
    </row>
    <row r="211" spans="1:8" ht="45.75" thickBot="1" x14ac:dyDescent="0.3">
      <c r="A211" s="2" t="s">
        <v>20</v>
      </c>
      <c r="B211" s="6">
        <f>G211*56%</f>
        <v>11959.920000000002</v>
      </c>
      <c r="C211" s="8"/>
      <c r="D211" s="6"/>
      <c r="E211" s="6"/>
      <c r="F211" s="6"/>
      <c r="G211" s="90">
        <v>21357</v>
      </c>
      <c r="H211" s="91"/>
    </row>
    <row r="212" spans="1:8" ht="30.75" thickBot="1" x14ac:dyDescent="0.3">
      <c r="A212" s="2" t="s">
        <v>21</v>
      </c>
      <c r="B212" s="6">
        <f>G212*56%</f>
        <v>10921.12</v>
      </c>
      <c r="C212" s="6"/>
      <c r="D212" s="61">
        <f>G212-B212</f>
        <v>8580.8799999999992</v>
      </c>
      <c r="E212" s="8" t="s">
        <v>8</v>
      </c>
      <c r="F212" s="8" t="s">
        <v>8</v>
      </c>
      <c r="G212" s="90">
        <f>1548+156+G176</f>
        <v>19502</v>
      </c>
      <c r="H212" s="91"/>
    </row>
    <row r="213" spans="1:8" ht="15.75" thickBot="1" x14ac:dyDescent="0.3">
      <c r="A213" s="3" t="s">
        <v>22</v>
      </c>
      <c r="B213" s="6">
        <f>G213*56%</f>
        <v>504.56000000000006</v>
      </c>
      <c r="C213" s="6"/>
      <c r="D213" s="61">
        <f>G213-B213</f>
        <v>396.43999999999994</v>
      </c>
      <c r="E213" s="8" t="s">
        <v>8</v>
      </c>
      <c r="F213" s="8" t="s">
        <v>8</v>
      </c>
      <c r="G213" s="90">
        <v>901</v>
      </c>
      <c r="H213" s="91"/>
    </row>
    <row r="214" spans="1:8" ht="15.75" thickBot="1" x14ac:dyDescent="0.3">
      <c r="A214" s="3" t="s">
        <v>23</v>
      </c>
      <c r="B214" s="8" t="s">
        <v>8</v>
      </c>
      <c r="C214" s="12"/>
      <c r="D214" s="8" t="s">
        <v>8</v>
      </c>
      <c r="E214" s="8" t="s">
        <v>8</v>
      </c>
      <c r="F214" s="8" t="s">
        <v>8</v>
      </c>
      <c r="G214" s="94"/>
      <c r="H214" s="95"/>
    </row>
    <row r="215" spans="1:8" ht="15.75" thickBot="1" x14ac:dyDescent="0.3">
      <c r="A215" s="3" t="s">
        <v>24</v>
      </c>
      <c r="B215" s="6">
        <f>G215*56%</f>
        <v>0</v>
      </c>
      <c r="C215" s="6"/>
      <c r="D215" s="6"/>
      <c r="E215" s="8" t="s">
        <v>8</v>
      </c>
      <c r="F215" s="8" t="s">
        <v>8</v>
      </c>
      <c r="G215" s="90"/>
      <c r="H215" s="91"/>
    </row>
    <row r="216" spans="1:8" ht="15.75" thickBot="1" x14ac:dyDescent="0.3">
      <c r="A216" s="4" t="s">
        <v>25</v>
      </c>
      <c r="B216" s="6">
        <f>SUM(B200:B215)</f>
        <v>172443.52000000002</v>
      </c>
      <c r="C216" s="6"/>
      <c r="D216" s="6">
        <f>SUM(D200:D215)</f>
        <v>60041.399999999987</v>
      </c>
      <c r="E216" s="6">
        <f>SUM(E200:E215)</f>
        <v>15000</v>
      </c>
      <c r="F216" s="6"/>
      <c r="G216" s="90">
        <f>SUM(G200:H215)</f>
        <v>256882</v>
      </c>
      <c r="H216" s="91"/>
    </row>
    <row r="217" spans="1:8" x14ac:dyDescent="0.25">
      <c r="A217" s="92" t="s">
        <v>26</v>
      </c>
      <c r="B217" s="92"/>
      <c r="C217" s="92"/>
      <c r="D217" s="92"/>
      <c r="E217" s="92"/>
      <c r="F217" s="92"/>
      <c r="G217" s="92"/>
      <c r="H217" s="92"/>
    </row>
    <row r="218" spans="1:8" x14ac:dyDescent="0.25">
      <c r="A218" s="93" t="s">
        <v>27</v>
      </c>
      <c r="B218" s="93"/>
      <c r="C218" s="93"/>
      <c r="D218" s="93"/>
      <c r="E218" s="93"/>
      <c r="F218" s="93"/>
      <c r="G218" s="93"/>
      <c r="H218" s="93"/>
    </row>
    <row r="219" spans="1:8" x14ac:dyDescent="0.25">
      <c r="A219" s="93" t="s">
        <v>28</v>
      </c>
      <c r="B219" s="93"/>
      <c r="C219" s="93"/>
      <c r="D219" s="93"/>
      <c r="E219" s="93"/>
      <c r="F219" s="93"/>
      <c r="G219" s="93"/>
      <c r="H219" s="93"/>
    </row>
    <row r="220" spans="1:8" x14ac:dyDescent="0.25">
      <c r="A220" s="1"/>
      <c r="B220" s="9"/>
      <c r="C220" s="9"/>
      <c r="D220" s="9"/>
      <c r="E220" s="9"/>
      <c r="F220" s="9"/>
      <c r="G220" s="9"/>
      <c r="H220" s="9"/>
    </row>
    <row r="221" spans="1:8" ht="15.75" x14ac:dyDescent="0.25">
      <c r="A221" s="5"/>
    </row>
    <row r="222" spans="1:8" x14ac:dyDescent="0.25">
      <c r="B222" s="13" t="s">
        <v>201</v>
      </c>
      <c r="C222" s="13">
        <v>126915</v>
      </c>
    </row>
    <row r="223" spans="1:8" x14ac:dyDescent="0.25">
      <c r="C223" s="10">
        <f>C222-B216</f>
        <v>-45528.520000000019</v>
      </c>
      <c r="D223"/>
      <c r="E223"/>
      <c r="F223"/>
      <c r="G223"/>
      <c r="H223"/>
    </row>
    <row r="224" spans="1:8" x14ac:dyDescent="0.25">
      <c r="D224"/>
      <c r="E224"/>
      <c r="F224"/>
      <c r="G224"/>
      <c r="H224"/>
    </row>
    <row r="225" spans="1:10" x14ac:dyDescent="0.25">
      <c r="D225"/>
      <c r="E225"/>
      <c r="F225"/>
      <c r="G225"/>
      <c r="H225"/>
    </row>
    <row r="226" spans="1:10" x14ac:dyDescent="0.25">
      <c r="D226"/>
      <c r="E226"/>
      <c r="F226"/>
      <c r="G226"/>
      <c r="H226"/>
    </row>
    <row r="227" spans="1:10" x14ac:dyDescent="0.25">
      <c r="D227"/>
      <c r="E227"/>
      <c r="F227"/>
      <c r="G227"/>
      <c r="H227"/>
    </row>
    <row r="228" spans="1:10" x14ac:dyDescent="0.25">
      <c r="A228" s="62"/>
      <c r="B228" s="63"/>
      <c r="C228" s="63"/>
      <c r="D228" s="63"/>
      <c r="E228" s="112" t="s">
        <v>29</v>
      </c>
      <c r="F228" s="112"/>
      <c r="G228" s="112"/>
      <c r="H228" s="112"/>
    </row>
    <row r="229" spans="1:10" x14ac:dyDescent="0.25">
      <c r="A229" s="113"/>
      <c r="B229" s="114"/>
      <c r="C229" s="114"/>
      <c r="D229" s="115"/>
      <c r="E229" s="115" t="s">
        <v>0</v>
      </c>
      <c r="F229" s="115"/>
      <c r="G229" s="115"/>
      <c r="H229" s="115"/>
    </row>
    <row r="230" spans="1:10" x14ac:dyDescent="0.25">
      <c r="A230" s="113"/>
      <c r="B230" s="114"/>
      <c r="C230" s="114"/>
      <c r="D230" s="115"/>
      <c r="E230" s="115" t="s">
        <v>1</v>
      </c>
      <c r="F230" s="115"/>
      <c r="G230" s="115"/>
      <c r="H230" s="115"/>
    </row>
    <row r="231" spans="1:10" ht="15.75" thickBot="1" x14ac:dyDescent="0.3">
      <c r="A231" s="98" t="s">
        <v>215</v>
      </c>
      <c r="B231" s="98"/>
      <c r="C231" s="98"/>
      <c r="D231" s="98"/>
      <c r="E231" s="98"/>
      <c r="F231" s="98"/>
      <c r="G231" s="99"/>
      <c r="H231" s="99"/>
    </row>
    <row r="232" spans="1:10" ht="15.75" thickBot="1" x14ac:dyDescent="0.3">
      <c r="A232" s="100" t="s">
        <v>2</v>
      </c>
      <c r="B232" s="103" t="s">
        <v>30</v>
      </c>
      <c r="C232" s="104"/>
      <c r="D232" s="104"/>
      <c r="E232" s="104"/>
      <c r="F232" s="104"/>
      <c r="G232" s="105" t="s">
        <v>3</v>
      </c>
      <c r="H232" s="106"/>
    </row>
    <row r="233" spans="1:10" ht="105.75" thickBot="1" x14ac:dyDescent="0.3">
      <c r="A233" s="101"/>
      <c r="B233" s="96" t="s">
        <v>30</v>
      </c>
      <c r="C233" s="107"/>
      <c r="D233" s="60" t="s">
        <v>32</v>
      </c>
      <c r="E233" s="107" t="s">
        <v>4</v>
      </c>
      <c r="F233" s="97"/>
      <c r="G233" s="108"/>
      <c r="H233" s="109"/>
    </row>
    <row r="234" spans="1:10" ht="150.75" thickBot="1" x14ac:dyDescent="0.3">
      <c r="A234" s="102"/>
      <c r="B234" s="64" t="s">
        <v>36</v>
      </c>
      <c r="C234" s="64" t="s">
        <v>5</v>
      </c>
      <c r="D234" s="64" t="s">
        <v>33</v>
      </c>
      <c r="E234" s="64" t="s">
        <v>34</v>
      </c>
      <c r="F234" s="64" t="s">
        <v>35</v>
      </c>
      <c r="G234" s="110"/>
      <c r="H234" s="111"/>
    </row>
    <row r="235" spans="1:10" ht="15.75" thickBot="1" x14ac:dyDescent="0.3">
      <c r="A235" s="59">
        <v>1</v>
      </c>
      <c r="B235" s="64">
        <v>2</v>
      </c>
      <c r="C235" s="11">
        <v>3</v>
      </c>
      <c r="D235" s="64">
        <v>4</v>
      </c>
      <c r="E235" s="11">
        <v>5</v>
      </c>
      <c r="F235" s="64">
        <v>6</v>
      </c>
      <c r="G235" s="96" t="s">
        <v>37</v>
      </c>
      <c r="H235" s="97"/>
    </row>
    <row r="236" spans="1:10" ht="60.75" thickBot="1" x14ac:dyDescent="0.3">
      <c r="A236" s="2" t="s">
        <v>7</v>
      </c>
      <c r="B236" s="6">
        <f>B237</f>
        <v>116303.56</v>
      </c>
      <c r="C236" s="12"/>
      <c r="D236" s="6">
        <f>D237</f>
        <v>36727.440000000002</v>
      </c>
      <c r="E236" s="8" t="s">
        <v>8</v>
      </c>
      <c r="F236" s="8" t="s">
        <v>8</v>
      </c>
      <c r="G236" s="90">
        <f>153987-956</f>
        <v>153031</v>
      </c>
      <c r="H236" s="91"/>
    </row>
    <row r="237" spans="1:10" ht="15.75" thickBot="1" x14ac:dyDescent="0.3">
      <c r="A237" s="3" t="s">
        <v>9</v>
      </c>
      <c r="B237" s="6">
        <f>G237*76%</f>
        <v>116303.56</v>
      </c>
      <c r="C237" s="12"/>
      <c r="D237" s="61">
        <f>G237-B237</f>
        <v>36727.440000000002</v>
      </c>
      <c r="E237" s="8" t="s">
        <v>8</v>
      </c>
      <c r="F237" s="8" t="s">
        <v>8</v>
      </c>
      <c r="G237" s="90">
        <f>G236-G238</f>
        <v>153031</v>
      </c>
      <c r="H237" s="91"/>
    </row>
    <row r="238" spans="1:10" ht="15.75" thickBot="1" x14ac:dyDescent="0.3">
      <c r="A238" s="2" t="s">
        <v>10</v>
      </c>
      <c r="B238" s="6">
        <v>0</v>
      </c>
      <c r="C238" s="12"/>
      <c r="D238" s="6">
        <v>0</v>
      </c>
      <c r="E238" s="8" t="s">
        <v>8</v>
      </c>
      <c r="F238" s="8" t="s">
        <v>8</v>
      </c>
      <c r="G238" s="116"/>
      <c r="H238" s="91"/>
      <c r="J238" s="10">
        <f>G237+G239</f>
        <v>210682</v>
      </c>
    </row>
    <row r="239" spans="1:10" ht="60.75" thickBot="1" x14ac:dyDescent="0.3">
      <c r="A239" s="2" t="s">
        <v>11</v>
      </c>
      <c r="B239" s="6">
        <f>G239*76%</f>
        <v>43814.76</v>
      </c>
      <c r="C239" s="12"/>
      <c r="D239" s="61">
        <f>G239-B239</f>
        <v>13836.239999999998</v>
      </c>
      <c r="E239" s="8" t="s">
        <v>8</v>
      </c>
      <c r="F239" s="8" t="s">
        <v>8</v>
      </c>
      <c r="G239" s="90">
        <f>58259-608</f>
        <v>57651</v>
      </c>
      <c r="H239" s="91"/>
    </row>
    <row r="240" spans="1:10" ht="30.75" thickBot="1" x14ac:dyDescent="0.3">
      <c r="A240" s="2" t="s">
        <v>12</v>
      </c>
      <c r="B240" s="6">
        <f>G240*76%</f>
        <v>1188.6400000000001</v>
      </c>
      <c r="C240" s="12"/>
      <c r="D240" s="61">
        <f>G240-B240</f>
        <v>375.3599999999999</v>
      </c>
      <c r="E240" s="8" t="s">
        <v>8</v>
      </c>
      <c r="F240" s="8" t="s">
        <v>8</v>
      </c>
      <c r="G240" s="90">
        <f>956+608</f>
        <v>1564</v>
      </c>
      <c r="H240" s="91"/>
    </row>
    <row r="241" spans="1:10" ht="15.75" thickBot="1" x14ac:dyDescent="0.3">
      <c r="A241" s="2" t="s">
        <v>13</v>
      </c>
      <c r="B241" s="6">
        <f>G241*56%</f>
        <v>0</v>
      </c>
      <c r="C241" s="6"/>
      <c r="D241" s="61">
        <f>G241-B241</f>
        <v>0</v>
      </c>
      <c r="E241" s="8" t="s">
        <v>8</v>
      </c>
      <c r="F241" s="8" t="s">
        <v>8</v>
      </c>
      <c r="G241" s="90"/>
      <c r="H241" s="91"/>
    </row>
    <row r="242" spans="1:10" ht="30.75" thickBot="1" x14ac:dyDescent="0.3">
      <c r="A242" s="2" t="s">
        <v>14</v>
      </c>
      <c r="B242" s="6">
        <f>G242*56%</f>
        <v>9751.2800000000007</v>
      </c>
      <c r="C242" s="6"/>
      <c r="D242" s="61">
        <f>G242-B242</f>
        <v>7661.7199999999993</v>
      </c>
      <c r="E242" s="8" t="s">
        <v>8</v>
      </c>
      <c r="F242" s="8" t="s">
        <v>8</v>
      </c>
      <c r="G242" s="90">
        <v>17413</v>
      </c>
      <c r="H242" s="91"/>
      <c r="J242" s="10">
        <f>G240+G239+G237</f>
        <v>212246</v>
      </c>
    </row>
    <row r="243" spans="1:10" ht="45.75" thickBot="1" x14ac:dyDescent="0.3">
      <c r="A243" s="2" t="s">
        <v>15</v>
      </c>
      <c r="B243" s="8" t="s">
        <v>8</v>
      </c>
      <c r="C243" s="8" t="s">
        <v>8</v>
      </c>
      <c r="D243" s="6"/>
      <c r="E243" s="8" t="s">
        <v>8</v>
      </c>
      <c r="F243" s="8" t="s">
        <v>8</v>
      </c>
      <c r="G243" s="90"/>
      <c r="H243" s="91"/>
    </row>
    <row r="244" spans="1:10" ht="15.75" thickBot="1" x14ac:dyDescent="0.3">
      <c r="A244" s="2" t="s">
        <v>16</v>
      </c>
      <c r="B244" s="8" t="s">
        <v>8</v>
      </c>
      <c r="C244" s="8" t="s">
        <v>8</v>
      </c>
      <c r="D244" s="12"/>
      <c r="E244" s="6">
        <f>G244</f>
        <v>22986</v>
      </c>
      <c r="F244" s="6"/>
      <c r="G244" s="90">
        <v>22986</v>
      </c>
      <c r="H244" s="91"/>
    </row>
    <row r="245" spans="1:10" ht="15.75" thickBot="1" x14ac:dyDescent="0.3">
      <c r="A245" s="3" t="s">
        <v>17</v>
      </c>
      <c r="B245" s="6">
        <f>G245*56%</f>
        <v>87.360000000000014</v>
      </c>
      <c r="C245" s="8"/>
      <c r="D245" s="6"/>
      <c r="E245" s="6">
        <f>G245-B245</f>
        <v>68.639999999999986</v>
      </c>
      <c r="F245" s="6"/>
      <c r="G245" s="90">
        <v>156</v>
      </c>
      <c r="H245" s="91"/>
    </row>
    <row r="246" spans="1:10" ht="15.75" thickBot="1" x14ac:dyDescent="0.3">
      <c r="A246" s="3" t="s">
        <v>18</v>
      </c>
      <c r="B246" s="6"/>
      <c r="C246" s="8"/>
      <c r="D246" s="8"/>
      <c r="E246" s="6"/>
      <c r="F246" s="6"/>
      <c r="G246" s="90"/>
      <c r="H246" s="91"/>
    </row>
    <row r="247" spans="1:10" ht="45.75" thickBot="1" x14ac:dyDescent="0.3">
      <c r="A247" s="2" t="s">
        <v>19</v>
      </c>
      <c r="B247" s="6"/>
      <c r="C247" s="8"/>
      <c r="D247" s="6"/>
      <c r="E247" s="6"/>
      <c r="F247" s="6"/>
      <c r="G247" s="94"/>
      <c r="H247" s="95"/>
    </row>
    <row r="248" spans="1:10" ht="45.75" thickBot="1" x14ac:dyDescent="0.3">
      <c r="A248" s="2" t="s">
        <v>20</v>
      </c>
      <c r="B248" s="6">
        <v>0</v>
      </c>
      <c r="C248" s="8"/>
      <c r="D248" s="6"/>
      <c r="E248" s="6">
        <v>2989</v>
      </c>
      <c r="F248" s="6"/>
      <c r="G248" s="90">
        <v>2989</v>
      </c>
      <c r="H248" s="91"/>
    </row>
    <row r="249" spans="1:10" ht="30.75" thickBot="1" x14ac:dyDescent="0.3">
      <c r="A249" s="2" t="s">
        <v>21</v>
      </c>
      <c r="B249" s="6">
        <f>G249*56%</f>
        <v>11916.800000000001</v>
      </c>
      <c r="C249" s="6"/>
      <c r="D249" s="61">
        <f>G249-B249</f>
        <v>9363.1999999999989</v>
      </c>
      <c r="E249" s="8" t="s">
        <v>8</v>
      </c>
      <c r="F249" s="8" t="s">
        <v>8</v>
      </c>
      <c r="G249" s="90">
        <f>43791-G245-G244+631</f>
        <v>21280</v>
      </c>
      <c r="H249" s="91"/>
    </row>
    <row r="250" spans="1:10" ht="15.75" thickBot="1" x14ac:dyDescent="0.3">
      <c r="A250" s="3" t="s">
        <v>22</v>
      </c>
      <c r="B250" s="6">
        <f>G250*56%</f>
        <v>284.48</v>
      </c>
      <c r="C250" s="6"/>
      <c r="D250" s="61">
        <f>G250-B250</f>
        <v>223.51999999999998</v>
      </c>
      <c r="E250" s="8" t="s">
        <v>8</v>
      </c>
      <c r="F250" s="8" t="s">
        <v>8</v>
      </c>
      <c r="G250" s="90">
        <v>508</v>
      </c>
      <c r="H250" s="91"/>
    </row>
    <row r="251" spans="1:10" ht="15.75" thickBot="1" x14ac:dyDescent="0.3">
      <c r="A251" s="3" t="s">
        <v>23</v>
      </c>
      <c r="B251" s="8" t="s">
        <v>8</v>
      </c>
      <c r="C251" s="12"/>
      <c r="D251" s="8" t="s">
        <v>8</v>
      </c>
      <c r="E251" s="8" t="s">
        <v>8</v>
      </c>
      <c r="F251" s="8" t="s">
        <v>8</v>
      </c>
      <c r="G251" s="94"/>
      <c r="H251" s="95"/>
    </row>
    <row r="252" spans="1:10" ht="15.75" thickBot="1" x14ac:dyDescent="0.3">
      <c r="A252" s="3" t="s">
        <v>24</v>
      </c>
      <c r="B252" s="6">
        <f>G252*56%</f>
        <v>0</v>
      </c>
      <c r="C252" s="6"/>
      <c r="D252" s="6"/>
      <c r="E252" s="8" t="s">
        <v>8</v>
      </c>
      <c r="F252" s="8" t="s">
        <v>8</v>
      </c>
      <c r="G252" s="90"/>
      <c r="H252" s="91"/>
      <c r="J252" s="10">
        <f>G248-307</f>
        <v>2682</v>
      </c>
    </row>
    <row r="253" spans="1:10" ht="15.75" thickBot="1" x14ac:dyDescent="0.3">
      <c r="A253" s="4" t="s">
        <v>25</v>
      </c>
      <c r="B253" s="6">
        <f>SUM(B237:B252)</f>
        <v>183346.88</v>
      </c>
      <c r="C253" s="6"/>
      <c r="D253" s="6">
        <f>SUM(D237:D252)</f>
        <v>68187.48000000001</v>
      </c>
      <c r="E253" s="6">
        <f>SUM(E237:E252)</f>
        <v>26043.64</v>
      </c>
      <c r="F253" s="6"/>
      <c r="G253" s="90">
        <f>SUM(G237:H252)</f>
        <v>277578</v>
      </c>
      <c r="H253" s="91"/>
      <c r="J253" s="10">
        <f>G253-G248</f>
        <v>274589</v>
      </c>
    </row>
    <row r="254" spans="1:10" x14ac:dyDescent="0.25">
      <c r="A254" s="92" t="s">
        <v>26</v>
      </c>
      <c r="B254" s="92"/>
      <c r="C254" s="92"/>
      <c r="D254" s="92"/>
      <c r="E254" s="92"/>
      <c r="F254" s="92"/>
      <c r="G254" s="92"/>
      <c r="H254" s="92"/>
    </row>
    <row r="255" spans="1:10" x14ac:dyDescent="0.25">
      <c r="A255" s="93" t="s">
        <v>27</v>
      </c>
      <c r="B255" s="93"/>
      <c r="C255" s="93"/>
      <c r="D255" s="93"/>
      <c r="E255" s="93"/>
      <c r="F255" s="93"/>
      <c r="G255" s="93"/>
      <c r="H255" s="93"/>
    </row>
    <row r="256" spans="1:10" x14ac:dyDescent="0.25">
      <c r="A256" s="93" t="s">
        <v>28</v>
      </c>
      <c r="B256" s="93"/>
      <c r="C256" s="93"/>
      <c r="D256" s="93"/>
      <c r="E256" s="93"/>
      <c r="F256" s="93"/>
      <c r="G256" s="93"/>
      <c r="H256" s="93"/>
    </row>
    <row r="257" spans="1:8" x14ac:dyDescent="0.25">
      <c r="A257" s="1"/>
      <c r="B257" s="9"/>
      <c r="C257" s="9"/>
      <c r="D257" s="9"/>
      <c r="E257" s="9"/>
      <c r="F257" s="9"/>
      <c r="G257" s="9"/>
      <c r="H257" s="9"/>
    </row>
    <row r="258" spans="1:8" ht="15.75" x14ac:dyDescent="0.25">
      <c r="A258" s="5"/>
    </row>
    <row r="259" spans="1:8" x14ac:dyDescent="0.25">
      <c r="B259" s="13" t="s">
        <v>216</v>
      </c>
      <c r="C259" s="13">
        <v>229328</v>
      </c>
    </row>
    <row r="260" spans="1:8" x14ac:dyDescent="0.25">
      <c r="C260" s="10">
        <f>C259-B253</f>
        <v>45981.119999999995</v>
      </c>
      <c r="D260"/>
      <c r="E260"/>
      <c r="F260"/>
      <c r="G260"/>
      <c r="H260"/>
    </row>
    <row r="261" spans="1:8" x14ac:dyDescent="0.25">
      <c r="D261"/>
      <c r="E261"/>
      <c r="F261"/>
      <c r="G261"/>
      <c r="H261"/>
    </row>
    <row r="262" spans="1:8" x14ac:dyDescent="0.25">
      <c r="D262"/>
      <c r="E262"/>
      <c r="F262"/>
      <c r="G262"/>
      <c r="H262"/>
    </row>
    <row r="263" spans="1:8" x14ac:dyDescent="0.25">
      <c r="D263"/>
      <c r="E263"/>
      <c r="F263"/>
      <c r="G263"/>
      <c r="H263"/>
    </row>
    <row r="264" spans="1:8" x14ac:dyDescent="0.25">
      <c r="D264"/>
      <c r="E264"/>
      <c r="F264"/>
      <c r="G264"/>
      <c r="H264"/>
    </row>
    <row r="265" spans="1:8" x14ac:dyDescent="0.25">
      <c r="A265" s="62"/>
      <c r="B265" s="63"/>
      <c r="C265" s="63"/>
      <c r="D265" s="63"/>
      <c r="E265" s="112" t="s">
        <v>29</v>
      </c>
      <c r="F265" s="112"/>
      <c r="G265" s="112"/>
      <c r="H265" s="112"/>
    </row>
    <row r="266" spans="1:8" x14ac:dyDescent="0.25">
      <c r="A266" s="113"/>
      <c r="B266" s="114"/>
      <c r="C266" s="114"/>
      <c r="D266" s="115"/>
      <c r="E266" s="115" t="s">
        <v>0</v>
      </c>
      <c r="F266" s="115"/>
      <c r="G266" s="115"/>
      <c r="H266" s="115"/>
    </row>
    <row r="267" spans="1:8" x14ac:dyDescent="0.25">
      <c r="A267" s="113"/>
      <c r="B267" s="114"/>
      <c r="C267" s="114"/>
      <c r="D267" s="115"/>
      <c r="E267" s="115" t="s">
        <v>1</v>
      </c>
      <c r="F267" s="115"/>
      <c r="G267" s="115"/>
      <c r="H267" s="115"/>
    </row>
    <row r="268" spans="1:8" ht="15.75" thickBot="1" x14ac:dyDescent="0.3">
      <c r="A268" s="98" t="s">
        <v>217</v>
      </c>
      <c r="B268" s="98"/>
      <c r="C268" s="98"/>
      <c r="D268" s="98"/>
      <c r="E268" s="98"/>
      <c r="F268" s="98"/>
      <c r="G268" s="99"/>
      <c r="H268" s="99"/>
    </row>
    <row r="269" spans="1:8" ht="15.75" thickBot="1" x14ac:dyDescent="0.3">
      <c r="A269" s="100" t="s">
        <v>2</v>
      </c>
      <c r="B269" s="103" t="s">
        <v>30</v>
      </c>
      <c r="C269" s="104"/>
      <c r="D269" s="104"/>
      <c r="E269" s="104"/>
      <c r="F269" s="104"/>
      <c r="G269" s="105" t="s">
        <v>3</v>
      </c>
      <c r="H269" s="106"/>
    </row>
    <row r="270" spans="1:8" ht="105.75" thickBot="1" x14ac:dyDescent="0.3">
      <c r="A270" s="101"/>
      <c r="B270" s="96" t="s">
        <v>30</v>
      </c>
      <c r="C270" s="107"/>
      <c r="D270" s="60" t="s">
        <v>32</v>
      </c>
      <c r="E270" s="107" t="s">
        <v>4</v>
      </c>
      <c r="F270" s="97"/>
      <c r="G270" s="108"/>
      <c r="H270" s="109"/>
    </row>
    <row r="271" spans="1:8" ht="150.75" thickBot="1" x14ac:dyDescent="0.3">
      <c r="A271" s="102"/>
      <c r="B271" s="64" t="s">
        <v>36</v>
      </c>
      <c r="C271" s="64" t="s">
        <v>5</v>
      </c>
      <c r="D271" s="64" t="s">
        <v>33</v>
      </c>
      <c r="E271" s="64" t="s">
        <v>34</v>
      </c>
      <c r="F271" s="64" t="s">
        <v>35</v>
      </c>
      <c r="G271" s="110"/>
      <c r="H271" s="111"/>
    </row>
    <row r="272" spans="1:8" ht="15.75" thickBot="1" x14ac:dyDescent="0.3">
      <c r="A272" s="59">
        <v>1</v>
      </c>
      <c r="B272" s="64">
        <v>2</v>
      </c>
      <c r="C272" s="11">
        <v>3</v>
      </c>
      <c r="D272" s="64">
        <v>4</v>
      </c>
      <c r="E272" s="11">
        <v>5</v>
      </c>
      <c r="F272" s="64">
        <v>6</v>
      </c>
      <c r="G272" s="96" t="s">
        <v>37</v>
      </c>
      <c r="H272" s="97"/>
    </row>
    <row r="273" spans="1:10" ht="60.75" thickBot="1" x14ac:dyDescent="0.3">
      <c r="A273" s="2" t="s">
        <v>7</v>
      </c>
      <c r="B273" s="6">
        <f>B274</f>
        <v>131363.72</v>
      </c>
      <c r="C273" s="12"/>
      <c r="D273" s="6">
        <f>D274</f>
        <v>41483.279999999999</v>
      </c>
      <c r="E273" s="8" t="s">
        <v>8</v>
      </c>
      <c r="F273" s="8" t="s">
        <v>8</v>
      </c>
      <c r="G273" s="90">
        <f>173841-994</f>
        <v>172847</v>
      </c>
      <c r="H273" s="91"/>
    </row>
    <row r="274" spans="1:10" ht="15.75" thickBot="1" x14ac:dyDescent="0.3">
      <c r="A274" s="3" t="s">
        <v>9</v>
      </c>
      <c r="B274" s="6">
        <f>G274*76%</f>
        <v>131363.72</v>
      </c>
      <c r="C274" s="12"/>
      <c r="D274" s="61">
        <f>G274-B274</f>
        <v>41483.279999999999</v>
      </c>
      <c r="E274" s="8" t="s">
        <v>8</v>
      </c>
      <c r="F274" s="8" t="s">
        <v>8</v>
      </c>
      <c r="G274" s="90">
        <f>G273-G275</f>
        <v>172847</v>
      </c>
      <c r="H274" s="91"/>
      <c r="J274" s="10">
        <f>G274+G276</f>
        <v>238708</v>
      </c>
    </row>
    <row r="275" spans="1:10" ht="15.75" thickBot="1" x14ac:dyDescent="0.3">
      <c r="A275" s="2" t="s">
        <v>10</v>
      </c>
      <c r="B275" s="6">
        <v>0</v>
      </c>
      <c r="C275" s="12"/>
      <c r="D275" s="6">
        <v>0</v>
      </c>
      <c r="E275" s="8" t="s">
        <v>8</v>
      </c>
      <c r="F275" s="8" t="s">
        <v>8</v>
      </c>
      <c r="G275" s="116"/>
      <c r="H275" s="91"/>
    </row>
    <row r="276" spans="1:10" ht="60.75" thickBot="1" x14ac:dyDescent="0.3">
      <c r="A276" s="2" t="s">
        <v>11</v>
      </c>
      <c r="B276" s="6">
        <f>G276*76%</f>
        <v>50054.36</v>
      </c>
      <c r="C276" s="12"/>
      <c r="D276" s="61">
        <f>G276-B276</f>
        <v>15806.64</v>
      </c>
      <c r="E276" s="8" t="s">
        <v>8</v>
      </c>
      <c r="F276" s="8" t="s">
        <v>8</v>
      </c>
      <c r="G276" s="90">
        <f>66535-674</f>
        <v>65861</v>
      </c>
      <c r="H276" s="91"/>
    </row>
    <row r="277" spans="1:10" ht="30.75" thickBot="1" x14ac:dyDescent="0.3">
      <c r="A277" s="2" t="s">
        <v>12</v>
      </c>
      <c r="B277" s="6">
        <f>G277*76%</f>
        <v>1267.68</v>
      </c>
      <c r="C277" s="12"/>
      <c r="D277" s="61">
        <f>G277-B277</f>
        <v>400.31999999999994</v>
      </c>
      <c r="E277" s="8" t="s">
        <v>8</v>
      </c>
      <c r="F277" s="8" t="s">
        <v>8</v>
      </c>
      <c r="G277" s="90">
        <f>994+674</f>
        <v>1668</v>
      </c>
      <c r="H277" s="91"/>
    </row>
    <row r="278" spans="1:10" ht="15.75" thickBot="1" x14ac:dyDescent="0.3">
      <c r="A278" s="2" t="s">
        <v>13</v>
      </c>
      <c r="B278" s="6">
        <f>G278*56%</f>
        <v>0</v>
      </c>
      <c r="C278" s="6"/>
      <c r="D278" s="61">
        <f>G278-B278</f>
        <v>0</v>
      </c>
      <c r="E278" s="8" t="s">
        <v>8</v>
      </c>
      <c r="F278" s="8" t="s">
        <v>8</v>
      </c>
      <c r="G278" s="90">
        <v>0</v>
      </c>
      <c r="H278" s="91"/>
    </row>
    <row r="279" spans="1:10" ht="30.75" thickBot="1" x14ac:dyDescent="0.3">
      <c r="A279" s="2" t="s">
        <v>14</v>
      </c>
      <c r="B279" s="6">
        <f>G279*56%</f>
        <v>11380.320000000002</v>
      </c>
      <c r="C279" s="6"/>
      <c r="D279" s="61">
        <f>G279-B279</f>
        <v>8941.6799999999985</v>
      </c>
      <c r="E279" s="8" t="s">
        <v>8</v>
      </c>
      <c r="F279" s="8" t="s">
        <v>8</v>
      </c>
      <c r="G279" s="90">
        <v>20322</v>
      </c>
      <c r="H279" s="91"/>
      <c r="J279" s="10">
        <f>G277+G276+G274</f>
        <v>240376</v>
      </c>
    </row>
    <row r="280" spans="1:10" ht="45.75" thickBot="1" x14ac:dyDescent="0.3">
      <c r="A280" s="2" t="s">
        <v>15</v>
      </c>
      <c r="B280" s="8" t="s">
        <v>8</v>
      </c>
      <c r="C280" s="8" t="s">
        <v>8</v>
      </c>
      <c r="D280" s="6"/>
      <c r="E280" s="8" t="s">
        <v>8</v>
      </c>
      <c r="F280" s="8" t="s">
        <v>8</v>
      </c>
      <c r="G280" s="90"/>
      <c r="H280" s="91"/>
    </row>
    <row r="281" spans="1:10" ht="15.75" thickBot="1" x14ac:dyDescent="0.3">
      <c r="A281" s="2" t="s">
        <v>16</v>
      </c>
      <c r="B281" s="78" t="s">
        <v>8</v>
      </c>
      <c r="C281" s="8" t="s">
        <v>8</v>
      </c>
      <c r="D281" s="12"/>
      <c r="E281" s="6">
        <f>G281</f>
        <v>25986</v>
      </c>
      <c r="F281" s="6"/>
      <c r="G281" s="90">
        <v>25986</v>
      </c>
      <c r="H281" s="91"/>
    </row>
    <row r="282" spans="1:10" ht="15.75" thickBot="1" x14ac:dyDescent="0.3">
      <c r="A282" s="3" t="s">
        <v>17</v>
      </c>
      <c r="B282" s="6">
        <f>G282*56%</f>
        <v>87.360000000000014</v>
      </c>
      <c r="C282" s="8"/>
      <c r="D282" s="6"/>
      <c r="E282" s="6">
        <f>G282-B282</f>
        <v>68.639999999999986</v>
      </c>
      <c r="F282" s="6"/>
      <c r="G282" s="90">
        <v>156</v>
      </c>
      <c r="H282" s="91"/>
    </row>
    <row r="283" spans="1:10" ht="15.75" thickBot="1" x14ac:dyDescent="0.3">
      <c r="A283" s="3" t="s">
        <v>18</v>
      </c>
      <c r="B283" s="6"/>
      <c r="C283" s="8"/>
      <c r="D283" s="8"/>
      <c r="E283" s="6"/>
      <c r="F283" s="6"/>
      <c r="G283" s="90"/>
      <c r="H283" s="91"/>
    </row>
    <row r="284" spans="1:10" ht="45.75" thickBot="1" x14ac:dyDescent="0.3">
      <c r="A284" s="2" t="s">
        <v>19</v>
      </c>
      <c r="B284" s="6"/>
      <c r="C284" s="8"/>
      <c r="D284" s="6"/>
      <c r="E284" s="6"/>
      <c r="F284" s="6"/>
      <c r="G284" s="94"/>
      <c r="H284" s="95"/>
    </row>
    <row r="285" spans="1:10" ht="45.75" thickBot="1" x14ac:dyDescent="0.3">
      <c r="A285" s="2" t="s">
        <v>20</v>
      </c>
      <c r="B285" s="78" t="s">
        <v>8</v>
      </c>
      <c r="C285" s="8"/>
      <c r="D285" s="6"/>
      <c r="E285" s="6">
        <v>3433</v>
      </c>
      <c r="F285" s="6"/>
      <c r="G285" s="90">
        <v>3433</v>
      </c>
      <c r="H285" s="91"/>
    </row>
    <row r="286" spans="1:10" ht="30.75" thickBot="1" x14ac:dyDescent="0.3">
      <c r="A286" s="2" t="s">
        <v>21</v>
      </c>
      <c r="B286" s="6">
        <f>G286*56%</f>
        <v>13406.960000000001</v>
      </c>
      <c r="C286" s="6"/>
      <c r="D286" s="61">
        <f>G286-B286</f>
        <v>10534.039999999999</v>
      </c>
      <c r="E286" s="8" t="s">
        <v>8</v>
      </c>
      <c r="F286" s="8" t="s">
        <v>8</v>
      </c>
      <c r="G286" s="90">
        <f>49452-G281-G282+631</f>
        <v>23941</v>
      </c>
      <c r="H286" s="91"/>
    </row>
    <row r="287" spans="1:10" ht="15.75" thickBot="1" x14ac:dyDescent="0.3">
      <c r="A287" s="3" t="s">
        <v>22</v>
      </c>
      <c r="B287" s="6">
        <f>G287*56%</f>
        <v>292.32000000000005</v>
      </c>
      <c r="C287" s="6"/>
      <c r="D287" s="61">
        <f>G287-B287</f>
        <v>229.67999999999995</v>
      </c>
      <c r="E287" s="8" t="s">
        <v>8</v>
      </c>
      <c r="F287" s="8" t="s">
        <v>8</v>
      </c>
      <c r="G287" s="90">
        <v>522</v>
      </c>
      <c r="H287" s="91"/>
    </row>
    <row r="288" spans="1:10" ht="15.75" thickBot="1" x14ac:dyDescent="0.3">
      <c r="A288" s="3" t="s">
        <v>23</v>
      </c>
      <c r="B288" s="8" t="s">
        <v>8</v>
      </c>
      <c r="C288" s="12"/>
      <c r="D288" s="8" t="s">
        <v>8</v>
      </c>
      <c r="E288" s="8" t="s">
        <v>8</v>
      </c>
      <c r="F288" s="8" t="s">
        <v>8</v>
      </c>
      <c r="G288" s="94"/>
      <c r="H288" s="95"/>
    </row>
    <row r="289" spans="1:10" ht="15.75" thickBot="1" x14ac:dyDescent="0.3">
      <c r="A289" s="3" t="s">
        <v>24</v>
      </c>
      <c r="B289" s="6">
        <f>G289*56%</f>
        <v>0</v>
      </c>
      <c r="C289" s="6"/>
      <c r="D289" s="6"/>
      <c r="E289" s="8" t="s">
        <v>8</v>
      </c>
      <c r="F289" s="8" t="s">
        <v>8</v>
      </c>
      <c r="G289" s="90"/>
      <c r="H289" s="91"/>
      <c r="J289" s="10">
        <f>G285-307</f>
        <v>3126</v>
      </c>
    </row>
    <row r="290" spans="1:10" ht="15.75" thickBot="1" x14ac:dyDescent="0.3">
      <c r="A290" s="4" t="s">
        <v>25</v>
      </c>
      <c r="B290" s="6">
        <f>SUM(B274:B289)</f>
        <v>207852.72</v>
      </c>
      <c r="C290" s="6"/>
      <c r="D290" s="6">
        <f>SUM(D274:D289)</f>
        <v>77395.639999999985</v>
      </c>
      <c r="E290" s="6">
        <f>SUM(E274:E289)</f>
        <v>29487.64</v>
      </c>
      <c r="F290" s="6"/>
      <c r="G290" s="90">
        <f>SUM(G274:H289)</f>
        <v>314736</v>
      </c>
      <c r="H290" s="91"/>
      <c r="J290" s="10">
        <f>G290-311303</f>
        <v>3433</v>
      </c>
    </row>
    <row r="291" spans="1:10" x14ac:dyDescent="0.25">
      <c r="A291" s="92" t="s">
        <v>26</v>
      </c>
      <c r="B291" s="92"/>
      <c r="C291" s="92"/>
      <c r="D291" s="92"/>
      <c r="E291" s="92"/>
      <c r="F291" s="92"/>
      <c r="G291" s="92"/>
      <c r="H291" s="92"/>
    </row>
    <row r="292" spans="1:10" x14ac:dyDescent="0.25">
      <c r="A292" s="93" t="s">
        <v>27</v>
      </c>
      <c r="B292" s="93"/>
      <c r="C292" s="93"/>
      <c r="D292" s="93"/>
      <c r="E292" s="93"/>
      <c r="F292" s="93"/>
      <c r="G292" s="93"/>
      <c r="H292" s="93"/>
    </row>
    <row r="293" spans="1:10" x14ac:dyDescent="0.25">
      <c r="A293" s="93" t="s">
        <v>28</v>
      </c>
      <c r="B293" s="93"/>
      <c r="C293" s="93"/>
      <c r="D293" s="93"/>
      <c r="E293" s="93"/>
      <c r="F293" s="93"/>
      <c r="G293" s="93"/>
      <c r="H293" s="93"/>
    </row>
    <row r="294" spans="1:10" x14ac:dyDescent="0.25">
      <c r="A294" s="1"/>
      <c r="B294" s="9"/>
      <c r="C294" s="9"/>
      <c r="D294" s="9"/>
      <c r="E294" s="9"/>
      <c r="F294" s="9"/>
      <c r="G294" s="9"/>
      <c r="H294" s="9"/>
    </row>
    <row r="295" spans="1:10" ht="15.75" x14ac:dyDescent="0.25">
      <c r="A295" s="5"/>
    </row>
    <row r="296" spans="1:10" x14ac:dyDescent="0.25">
      <c r="B296" s="13" t="s">
        <v>218</v>
      </c>
      <c r="C296" s="13">
        <v>254120</v>
      </c>
    </row>
    <row r="297" spans="1:10" x14ac:dyDescent="0.25">
      <c r="C297" s="10">
        <f>C296-B290</f>
        <v>46267.28</v>
      </c>
      <c r="D297"/>
      <c r="E297"/>
      <c r="F297"/>
      <c r="G297"/>
      <c r="H297"/>
    </row>
    <row r="298" spans="1:10" x14ac:dyDescent="0.25">
      <c r="D298"/>
      <c r="E298"/>
      <c r="F298"/>
      <c r="G298"/>
      <c r="H298"/>
    </row>
    <row r="299" spans="1:10" x14ac:dyDescent="0.25">
      <c r="A299" s="62"/>
      <c r="B299" s="63"/>
      <c r="C299" s="63"/>
      <c r="D299" s="63"/>
      <c r="E299" s="112" t="s">
        <v>29</v>
      </c>
      <c r="F299" s="112"/>
      <c r="G299" s="112"/>
      <c r="H299" s="112"/>
    </row>
    <row r="300" spans="1:10" x14ac:dyDescent="0.25">
      <c r="A300" s="113"/>
      <c r="B300" s="114"/>
      <c r="C300" s="114"/>
      <c r="D300" s="115"/>
      <c r="E300" s="115" t="s">
        <v>0</v>
      </c>
      <c r="F300" s="115"/>
      <c r="G300" s="115"/>
      <c r="H300" s="115"/>
    </row>
    <row r="301" spans="1:10" x14ac:dyDescent="0.25">
      <c r="A301" s="113"/>
      <c r="B301" s="114"/>
      <c r="C301" s="114"/>
      <c r="D301" s="115"/>
      <c r="E301" s="115" t="s">
        <v>1</v>
      </c>
      <c r="F301" s="115"/>
      <c r="G301" s="115"/>
      <c r="H301" s="115"/>
    </row>
    <row r="302" spans="1:10" ht="15.75" thickBot="1" x14ac:dyDescent="0.3">
      <c r="A302" s="98" t="s">
        <v>219</v>
      </c>
      <c r="B302" s="98"/>
      <c r="C302" s="98"/>
      <c r="D302" s="98"/>
      <c r="E302" s="98"/>
      <c r="F302" s="98"/>
      <c r="G302" s="99"/>
      <c r="H302" s="99"/>
    </row>
    <row r="303" spans="1:10" ht="15.75" thickBot="1" x14ac:dyDescent="0.3">
      <c r="A303" s="100" t="s">
        <v>2</v>
      </c>
      <c r="B303" s="103" t="s">
        <v>30</v>
      </c>
      <c r="C303" s="104"/>
      <c r="D303" s="104"/>
      <c r="E303" s="104"/>
      <c r="F303" s="104"/>
      <c r="G303" s="105" t="s">
        <v>3</v>
      </c>
      <c r="H303" s="106"/>
    </row>
    <row r="304" spans="1:10" ht="105.75" thickBot="1" x14ac:dyDescent="0.3">
      <c r="A304" s="101"/>
      <c r="B304" s="96" t="s">
        <v>30</v>
      </c>
      <c r="C304" s="107"/>
      <c r="D304" s="60" t="s">
        <v>32</v>
      </c>
      <c r="E304" s="107" t="s">
        <v>4</v>
      </c>
      <c r="F304" s="97"/>
      <c r="G304" s="108"/>
      <c r="H304" s="109"/>
    </row>
    <row r="305" spans="1:10" ht="150.75" thickBot="1" x14ac:dyDescent="0.3">
      <c r="A305" s="102"/>
      <c r="B305" s="64" t="s">
        <v>36</v>
      </c>
      <c r="C305" s="64" t="s">
        <v>5</v>
      </c>
      <c r="D305" s="64" t="s">
        <v>33</v>
      </c>
      <c r="E305" s="64" t="s">
        <v>34</v>
      </c>
      <c r="F305" s="64" t="s">
        <v>35</v>
      </c>
      <c r="G305" s="110"/>
      <c r="H305" s="111"/>
    </row>
    <row r="306" spans="1:10" ht="15.75" thickBot="1" x14ac:dyDescent="0.3">
      <c r="A306" s="59">
        <v>1</v>
      </c>
      <c r="B306" s="64">
        <v>2</v>
      </c>
      <c r="C306" s="11">
        <v>3</v>
      </c>
      <c r="D306" s="64">
        <v>4</v>
      </c>
      <c r="E306" s="11">
        <v>5</v>
      </c>
      <c r="F306" s="64">
        <v>6</v>
      </c>
      <c r="G306" s="96" t="s">
        <v>37</v>
      </c>
      <c r="H306" s="97"/>
    </row>
    <row r="307" spans="1:10" ht="60.75" thickBot="1" x14ac:dyDescent="0.3">
      <c r="A307" s="2" t="s">
        <v>7</v>
      </c>
      <c r="B307" s="6">
        <f>B308</f>
        <v>148755.56</v>
      </c>
      <c r="C307" s="12"/>
      <c r="D307" s="6">
        <f>D308</f>
        <v>46975.44</v>
      </c>
      <c r="E307" s="8" t="s">
        <v>8</v>
      </c>
      <c r="F307" s="8" t="s">
        <v>8</v>
      </c>
      <c r="G307" s="90">
        <f>196854-1123</f>
        <v>195731</v>
      </c>
      <c r="H307" s="91"/>
    </row>
    <row r="308" spans="1:10" ht="15.75" thickBot="1" x14ac:dyDescent="0.3">
      <c r="A308" s="3" t="s">
        <v>9</v>
      </c>
      <c r="B308" s="6">
        <f>G308*76%</f>
        <v>148755.56</v>
      </c>
      <c r="C308" s="12"/>
      <c r="D308" s="61">
        <f>G308-B308</f>
        <v>46975.44</v>
      </c>
      <c r="E308" s="8" t="s">
        <v>8</v>
      </c>
      <c r="F308" s="8" t="s">
        <v>8</v>
      </c>
      <c r="G308" s="90">
        <f>G307-G309</f>
        <v>195731</v>
      </c>
      <c r="H308" s="91"/>
    </row>
    <row r="309" spans="1:10" ht="15.75" thickBot="1" x14ac:dyDescent="0.3">
      <c r="A309" s="2" t="s">
        <v>10</v>
      </c>
      <c r="B309" s="6">
        <v>0</v>
      </c>
      <c r="C309" s="12"/>
      <c r="D309" s="6">
        <v>0</v>
      </c>
      <c r="E309" s="8" t="s">
        <v>8</v>
      </c>
      <c r="F309" s="8" t="s">
        <v>8</v>
      </c>
      <c r="G309" s="116"/>
      <c r="H309" s="91"/>
    </row>
    <row r="310" spans="1:10" ht="60.75" thickBot="1" x14ac:dyDescent="0.3">
      <c r="A310" s="2" t="s">
        <v>11</v>
      </c>
      <c r="B310" s="6">
        <f>G310*76%</f>
        <v>57615.6</v>
      </c>
      <c r="C310" s="12"/>
      <c r="D310" s="61">
        <f>G310-B310</f>
        <v>18194.400000000001</v>
      </c>
      <c r="E310" s="8" t="s">
        <v>8</v>
      </c>
      <c r="F310" s="8" t="s">
        <v>8</v>
      </c>
      <c r="G310" s="90">
        <f>76534-724</f>
        <v>75810</v>
      </c>
      <c r="H310" s="91"/>
    </row>
    <row r="311" spans="1:10" ht="30.75" thickBot="1" x14ac:dyDescent="0.3">
      <c r="A311" s="2" t="s">
        <v>12</v>
      </c>
      <c r="B311" s="6">
        <f>G311*76%</f>
        <v>1403.72</v>
      </c>
      <c r="C311" s="12"/>
      <c r="D311" s="61">
        <f>G311-B311</f>
        <v>443.28</v>
      </c>
      <c r="E311" s="8" t="s">
        <v>8</v>
      </c>
      <c r="F311" s="8" t="s">
        <v>8</v>
      </c>
      <c r="G311" s="90">
        <f>1123+724</f>
        <v>1847</v>
      </c>
      <c r="H311" s="91"/>
    </row>
    <row r="312" spans="1:10" ht="15.75" thickBot="1" x14ac:dyDescent="0.3">
      <c r="A312" s="2" t="s">
        <v>13</v>
      </c>
      <c r="B312" s="6">
        <f>G312*56%</f>
        <v>0</v>
      </c>
      <c r="C312" s="6"/>
      <c r="D312" s="61">
        <f>G312-B312</f>
        <v>0</v>
      </c>
      <c r="E312" s="8" t="s">
        <v>8</v>
      </c>
      <c r="F312" s="8" t="s">
        <v>8</v>
      </c>
      <c r="G312" s="90">
        <v>0</v>
      </c>
      <c r="H312" s="91"/>
    </row>
    <row r="313" spans="1:10" ht="30.75" thickBot="1" x14ac:dyDescent="0.3">
      <c r="A313" s="2" t="s">
        <v>14</v>
      </c>
      <c r="B313" s="6">
        <f>G313*56%</f>
        <v>16075.920000000002</v>
      </c>
      <c r="C313" s="6"/>
      <c r="D313" s="61">
        <f>G313-B313</f>
        <v>12631.079999999998</v>
      </c>
      <c r="E313" s="8" t="s">
        <v>8</v>
      </c>
      <c r="F313" s="8" t="s">
        <v>8</v>
      </c>
      <c r="G313" s="90">
        <v>28707</v>
      </c>
      <c r="H313" s="91"/>
      <c r="J313" s="10">
        <f>G311+G310+G308</f>
        <v>273388</v>
      </c>
    </row>
    <row r="314" spans="1:10" ht="45.75" thickBot="1" x14ac:dyDescent="0.3">
      <c r="A314" s="2" t="s">
        <v>15</v>
      </c>
      <c r="B314" s="8" t="s">
        <v>8</v>
      </c>
      <c r="C314" s="8" t="s">
        <v>8</v>
      </c>
      <c r="D314" s="6"/>
      <c r="E314" s="8" t="s">
        <v>8</v>
      </c>
      <c r="F314" s="8" t="s">
        <v>8</v>
      </c>
      <c r="G314" s="90"/>
      <c r="H314" s="91"/>
    </row>
    <row r="315" spans="1:10" ht="15.75" thickBot="1" x14ac:dyDescent="0.3">
      <c r="A315" s="2" t="s">
        <v>16</v>
      </c>
      <c r="B315" s="8" t="s">
        <v>8</v>
      </c>
      <c r="C315" s="8" t="s">
        <v>8</v>
      </c>
      <c r="D315" s="12"/>
      <c r="E315" s="6">
        <f>G315</f>
        <v>28986</v>
      </c>
      <c r="F315" s="6"/>
      <c r="G315" s="90">
        <v>28986</v>
      </c>
      <c r="H315" s="91"/>
    </row>
    <row r="316" spans="1:10" ht="15.75" thickBot="1" x14ac:dyDescent="0.3">
      <c r="A316" s="3" t="s">
        <v>17</v>
      </c>
      <c r="B316" s="6">
        <f>G316*56%</f>
        <v>87.360000000000014</v>
      </c>
      <c r="C316" s="8"/>
      <c r="D316" s="6"/>
      <c r="E316" s="6">
        <f>G316-B316</f>
        <v>68.639999999999986</v>
      </c>
      <c r="F316" s="6"/>
      <c r="G316" s="90">
        <v>156</v>
      </c>
      <c r="H316" s="91"/>
    </row>
    <row r="317" spans="1:10" ht="15.75" thickBot="1" x14ac:dyDescent="0.3">
      <c r="A317" s="3" t="s">
        <v>18</v>
      </c>
      <c r="B317" s="6"/>
      <c r="C317" s="8"/>
      <c r="D317" s="8"/>
      <c r="E317" s="6"/>
      <c r="F317" s="6"/>
      <c r="G317" s="90"/>
      <c r="H317" s="91"/>
    </row>
    <row r="318" spans="1:10" ht="45.75" thickBot="1" x14ac:dyDescent="0.3">
      <c r="A318" s="2" t="s">
        <v>19</v>
      </c>
      <c r="B318" s="6"/>
      <c r="C318" s="8"/>
      <c r="D318" s="6"/>
      <c r="E318" s="6"/>
      <c r="F318" s="6"/>
      <c r="G318" s="94"/>
      <c r="H318" s="95"/>
    </row>
    <row r="319" spans="1:10" ht="45.75" thickBot="1" x14ac:dyDescent="0.3">
      <c r="A319" s="2" t="s">
        <v>20</v>
      </c>
      <c r="B319" s="6"/>
      <c r="C319" s="8"/>
      <c r="D319" s="6"/>
      <c r="E319" s="6">
        <v>3877</v>
      </c>
      <c r="F319" s="6"/>
      <c r="G319" s="90">
        <v>3877</v>
      </c>
      <c r="H319" s="91"/>
    </row>
    <row r="320" spans="1:10" ht="30.75" thickBot="1" x14ac:dyDescent="0.3">
      <c r="A320" s="2" t="s">
        <v>21</v>
      </c>
      <c r="B320" s="6">
        <f>G320*56%</f>
        <v>22130.640000000003</v>
      </c>
      <c r="C320" s="6"/>
      <c r="D320" s="61">
        <f>G320-B320</f>
        <v>17388.359999999997</v>
      </c>
      <c r="E320" s="8" t="s">
        <v>8</v>
      </c>
      <c r="F320" s="8" t="s">
        <v>8</v>
      </c>
      <c r="G320" s="90">
        <f>67400-G315-G316+1261</f>
        <v>39519</v>
      </c>
      <c r="H320" s="91"/>
    </row>
    <row r="321" spans="1:10" ht="15.75" thickBot="1" x14ac:dyDescent="0.3">
      <c r="A321" s="3" t="s">
        <v>22</v>
      </c>
      <c r="B321" s="6">
        <f>G321*56%</f>
        <v>311.36</v>
      </c>
      <c r="C321" s="6"/>
      <c r="D321" s="61">
        <f>G321-B321</f>
        <v>244.64</v>
      </c>
      <c r="E321" s="8" t="s">
        <v>8</v>
      </c>
      <c r="F321" s="8" t="s">
        <v>8</v>
      </c>
      <c r="G321" s="90">
        <v>556</v>
      </c>
      <c r="H321" s="91"/>
    </row>
    <row r="322" spans="1:10" ht="15.75" thickBot="1" x14ac:dyDescent="0.3">
      <c r="A322" s="3" t="s">
        <v>23</v>
      </c>
      <c r="B322" s="8" t="s">
        <v>8</v>
      </c>
      <c r="C322" s="12"/>
      <c r="D322" s="8" t="s">
        <v>8</v>
      </c>
      <c r="E322" s="8" t="s">
        <v>8</v>
      </c>
      <c r="F322" s="8" t="s">
        <v>8</v>
      </c>
      <c r="G322" s="94"/>
      <c r="H322" s="95"/>
    </row>
    <row r="323" spans="1:10" ht="15.75" thickBot="1" x14ac:dyDescent="0.3">
      <c r="A323" s="3" t="s">
        <v>24</v>
      </c>
      <c r="B323" s="6">
        <f>G323*56%</f>
        <v>0</v>
      </c>
      <c r="C323" s="6"/>
      <c r="D323" s="6"/>
      <c r="E323" s="8" t="s">
        <v>8</v>
      </c>
      <c r="F323" s="8" t="s">
        <v>8</v>
      </c>
      <c r="G323" s="90"/>
      <c r="H323" s="91"/>
      <c r="J323" s="10">
        <f>G319-307</f>
        <v>3570</v>
      </c>
    </row>
    <row r="324" spans="1:10" ht="15.75" thickBot="1" x14ac:dyDescent="0.3">
      <c r="A324" s="4" t="s">
        <v>25</v>
      </c>
      <c r="B324" s="6">
        <f>SUM(B308:B323)</f>
        <v>246380.16</v>
      </c>
      <c r="C324" s="6"/>
      <c r="D324" s="6">
        <f>SUM(D308:D323)</f>
        <v>95877.200000000012</v>
      </c>
      <c r="E324" s="6">
        <f>SUM(E308:E323)</f>
        <v>32931.64</v>
      </c>
      <c r="F324" s="6"/>
      <c r="G324" s="90">
        <f>SUM(G308:H323)</f>
        <v>375189</v>
      </c>
      <c r="H324" s="91"/>
      <c r="J324" s="10">
        <f>G324-371312</f>
        <v>3877</v>
      </c>
    </row>
    <row r="325" spans="1:10" x14ac:dyDescent="0.25">
      <c r="A325" s="92" t="s">
        <v>26</v>
      </c>
      <c r="B325" s="92"/>
      <c r="C325" s="92"/>
      <c r="D325" s="92"/>
      <c r="E325" s="92"/>
      <c r="F325" s="92"/>
      <c r="G325" s="92"/>
      <c r="H325" s="92"/>
    </row>
    <row r="326" spans="1:10" x14ac:dyDescent="0.25">
      <c r="A326" s="93" t="s">
        <v>27</v>
      </c>
      <c r="B326" s="93"/>
      <c r="C326" s="93"/>
      <c r="D326" s="93"/>
      <c r="E326" s="93"/>
      <c r="F326" s="93"/>
      <c r="G326" s="93"/>
      <c r="H326" s="93"/>
    </row>
    <row r="327" spans="1:10" x14ac:dyDescent="0.25">
      <c r="A327" s="93" t="s">
        <v>28</v>
      </c>
      <c r="B327" s="93"/>
      <c r="C327" s="93"/>
      <c r="D327" s="93"/>
      <c r="E327" s="93"/>
      <c r="F327" s="93"/>
      <c r="G327" s="93"/>
      <c r="H327" s="93"/>
    </row>
    <row r="328" spans="1:10" x14ac:dyDescent="0.25">
      <c r="A328" s="1"/>
      <c r="B328" s="9"/>
      <c r="C328" s="9"/>
      <c r="D328" s="9"/>
      <c r="E328" s="9"/>
      <c r="F328" s="9"/>
      <c r="G328" s="9"/>
      <c r="H328" s="9"/>
    </row>
    <row r="329" spans="1:10" ht="15.75" x14ac:dyDescent="0.25">
      <c r="A329" s="5"/>
    </row>
    <row r="330" spans="1:10" x14ac:dyDescent="0.25">
      <c r="B330" s="13" t="s">
        <v>220</v>
      </c>
      <c r="C330" s="13">
        <v>278913</v>
      </c>
    </row>
    <row r="331" spans="1:10" x14ac:dyDescent="0.25">
      <c r="C331" s="10">
        <f>C330-B324</f>
        <v>32532.839999999997</v>
      </c>
      <c r="D331"/>
      <c r="E331"/>
      <c r="F331"/>
      <c r="G331"/>
      <c r="H331"/>
    </row>
    <row r="332" spans="1:10" x14ac:dyDescent="0.25">
      <c r="D332"/>
      <c r="E332"/>
      <c r="F332"/>
      <c r="G332"/>
      <c r="H332"/>
    </row>
    <row r="333" spans="1:10" x14ac:dyDescent="0.25">
      <c r="D333"/>
      <c r="E333"/>
      <c r="F333"/>
      <c r="G333"/>
      <c r="H333"/>
    </row>
    <row r="334" spans="1:10" x14ac:dyDescent="0.25">
      <c r="D334"/>
      <c r="E334"/>
      <c r="F334"/>
      <c r="G334"/>
      <c r="H334"/>
    </row>
    <row r="335" spans="1:10" x14ac:dyDescent="0.25">
      <c r="D335"/>
      <c r="E335"/>
      <c r="F335"/>
      <c r="G335"/>
      <c r="H335"/>
    </row>
    <row r="336" spans="1:10" x14ac:dyDescent="0.25">
      <c r="D336"/>
      <c r="E336"/>
      <c r="F336"/>
      <c r="G336"/>
      <c r="H336"/>
    </row>
    <row r="337" spans="1:11" x14ac:dyDescent="0.25">
      <c r="A337" s="62"/>
      <c r="B337" s="63"/>
      <c r="C337" s="63"/>
      <c r="D337" s="63"/>
      <c r="E337" s="112" t="s">
        <v>29</v>
      </c>
      <c r="F337" s="112"/>
      <c r="G337" s="112"/>
      <c r="H337" s="112"/>
    </row>
    <row r="338" spans="1:11" x14ac:dyDescent="0.25">
      <c r="A338" s="113"/>
      <c r="B338" s="114"/>
      <c r="C338" s="114"/>
      <c r="D338" s="115"/>
      <c r="E338" s="115" t="s">
        <v>0</v>
      </c>
      <c r="F338" s="115"/>
      <c r="G338" s="115"/>
      <c r="H338" s="115"/>
    </row>
    <row r="339" spans="1:11" x14ac:dyDescent="0.25">
      <c r="A339" s="113"/>
      <c r="B339" s="114"/>
      <c r="C339" s="114"/>
      <c r="D339" s="115"/>
      <c r="E339" s="115" t="s">
        <v>1</v>
      </c>
      <c r="F339" s="115"/>
      <c r="G339" s="115"/>
      <c r="H339" s="115"/>
    </row>
    <row r="340" spans="1:11" ht="15.75" thickBot="1" x14ac:dyDescent="0.3">
      <c r="A340" s="98" t="s">
        <v>221</v>
      </c>
      <c r="B340" s="98"/>
      <c r="C340" s="98"/>
      <c r="D340" s="98"/>
      <c r="E340" s="98"/>
      <c r="F340" s="98"/>
      <c r="G340" s="99"/>
      <c r="H340" s="99"/>
    </row>
    <row r="341" spans="1:11" ht="15.75" thickBot="1" x14ac:dyDescent="0.3">
      <c r="A341" s="100" t="s">
        <v>2</v>
      </c>
      <c r="B341" s="103" t="s">
        <v>30</v>
      </c>
      <c r="C341" s="104"/>
      <c r="D341" s="104"/>
      <c r="E341" s="104"/>
      <c r="F341" s="104"/>
      <c r="G341" s="105" t="s">
        <v>3</v>
      </c>
      <c r="H341" s="106"/>
    </row>
    <row r="342" spans="1:11" ht="105.75" thickBot="1" x14ac:dyDescent="0.3">
      <c r="A342" s="101"/>
      <c r="B342" s="96" t="s">
        <v>30</v>
      </c>
      <c r="C342" s="107"/>
      <c r="D342" s="60" t="s">
        <v>32</v>
      </c>
      <c r="E342" s="107" t="s">
        <v>4</v>
      </c>
      <c r="F342" s="97"/>
      <c r="G342" s="108"/>
      <c r="H342" s="109"/>
    </row>
    <row r="343" spans="1:11" ht="150.75" thickBot="1" x14ac:dyDescent="0.3">
      <c r="A343" s="102"/>
      <c r="B343" s="64" t="s">
        <v>36</v>
      </c>
      <c r="C343" s="64" t="s">
        <v>5</v>
      </c>
      <c r="D343" s="64" t="s">
        <v>33</v>
      </c>
      <c r="E343" s="64" t="s">
        <v>34</v>
      </c>
      <c r="F343" s="64" t="s">
        <v>35</v>
      </c>
      <c r="G343" s="110"/>
      <c r="H343" s="111"/>
    </row>
    <row r="344" spans="1:11" ht="15.75" thickBot="1" x14ac:dyDescent="0.3">
      <c r="A344" s="59">
        <v>1</v>
      </c>
      <c r="B344" s="64">
        <v>2</v>
      </c>
      <c r="C344" s="11">
        <v>3</v>
      </c>
      <c r="D344" s="64">
        <v>4</v>
      </c>
      <c r="E344" s="11">
        <v>5</v>
      </c>
      <c r="F344" s="64">
        <v>6</v>
      </c>
      <c r="G344" s="96" t="s">
        <v>37</v>
      </c>
      <c r="H344" s="97"/>
    </row>
    <row r="345" spans="1:11" ht="60.75" thickBot="1" x14ac:dyDescent="0.3">
      <c r="A345" s="2" t="s">
        <v>7</v>
      </c>
      <c r="B345" s="6">
        <f>B346</f>
        <v>167712.24</v>
      </c>
      <c r="C345" s="12"/>
      <c r="D345" s="6">
        <f>D346</f>
        <v>52961.760000000009</v>
      </c>
      <c r="E345" s="8" t="s">
        <v>8</v>
      </c>
      <c r="F345" s="8" t="s">
        <v>8</v>
      </c>
      <c r="G345" s="90">
        <f>221955-1281</f>
        <v>220674</v>
      </c>
      <c r="H345" s="91"/>
    </row>
    <row r="346" spans="1:11" ht="15.75" thickBot="1" x14ac:dyDescent="0.3">
      <c r="A346" s="3" t="s">
        <v>9</v>
      </c>
      <c r="B346" s="6">
        <f>G346*76%</f>
        <v>167712.24</v>
      </c>
      <c r="C346" s="12"/>
      <c r="D346" s="61">
        <f>G346-B346</f>
        <v>52961.760000000009</v>
      </c>
      <c r="E346" s="8" t="s">
        <v>8</v>
      </c>
      <c r="F346" s="8" t="s">
        <v>8</v>
      </c>
      <c r="G346" s="90">
        <f>G345-G347</f>
        <v>220674</v>
      </c>
      <c r="H346" s="91"/>
    </row>
    <row r="347" spans="1:11" ht="15.75" thickBot="1" x14ac:dyDescent="0.3">
      <c r="A347" s="2" t="s">
        <v>10</v>
      </c>
      <c r="B347" s="6">
        <v>0</v>
      </c>
      <c r="C347" s="12"/>
      <c r="D347" s="6">
        <v>0</v>
      </c>
      <c r="E347" s="8" t="s">
        <v>8</v>
      </c>
      <c r="F347" s="8" t="s">
        <v>8</v>
      </c>
      <c r="G347" s="116"/>
      <c r="H347" s="91"/>
    </row>
    <row r="348" spans="1:11" ht="60.75" thickBot="1" x14ac:dyDescent="0.3">
      <c r="A348" s="2" t="s">
        <v>11</v>
      </c>
      <c r="B348" s="6">
        <f>G348*76%</f>
        <v>65935.320000000007</v>
      </c>
      <c r="C348" s="12"/>
      <c r="D348" s="61">
        <f>G348-B348</f>
        <v>20821.679999999993</v>
      </c>
      <c r="E348" s="8" t="s">
        <v>8</v>
      </c>
      <c r="F348" s="8" t="s">
        <v>8</v>
      </c>
      <c r="G348" s="90">
        <f>87609-852</f>
        <v>86757</v>
      </c>
      <c r="H348" s="91"/>
    </row>
    <row r="349" spans="1:11" ht="30.75" thickBot="1" x14ac:dyDescent="0.3">
      <c r="A349" s="2" t="s">
        <v>12</v>
      </c>
      <c r="B349" s="6">
        <f>G349*76%</f>
        <v>1621.08</v>
      </c>
      <c r="C349" s="12"/>
      <c r="D349" s="61">
        <f>G349-B349</f>
        <v>511.92000000000007</v>
      </c>
      <c r="E349" s="8" t="s">
        <v>8</v>
      </c>
      <c r="F349" s="8" t="s">
        <v>8</v>
      </c>
      <c r="G349" s="90">
        <f>1281+852</f>
        <v>2133</v>
      </c>
      <c r="H349" s="91"/>
    </row>
    <row r="350" spans="1:11" ht="15.75" thickBot="1" x14ac:dyDescent="0.3">
      <c r="A350" s="2" t="s">
        <v>13</v>
      </c>
      <c r="B350" s="6">
        <f>G350*56%</f>
        <v>0</v>
      </c>
      <c r="C350" s="6"/>
      <c r="D350" s="61">
        <f>G350-B350</f>
        <v>0</v>
      </c>
      <c r="E350" s="8" t="s">
        <v>8</v>
      </c>
      <c r="F350" s="8" t="s">
        <v>8</v>
      </c>
      <c r="G350" s="90">
        <v>0</v>
      </c>
      <c r="H350" s="91"/>
    </row>
    <row r="351" spans="1:11" ht="30.75" thickBot="1" x14ac:dyDescent="0.3">
      <c r="A351" s="2" t="s">
        <v>14</v>
      </c>
      <c r="B351" s="6">
        <f>G351*56%</f>
        <v>17600.240000000002</v>
      </c>
      <c r="C351" s="6"/>
      <c r="D351" s="61">
        <f>G351-B351</f>
        <v>13828.759999999998</v>
      </c>
      <c r="E351" s="8" t="s">
        <v>8</v>
      </c>
      <c r="F351" s="8" t="s">
        <v>8</v>
      </c>
      <c r="G351" s="90">
        <v>31429</v>
      </c>
      <c r="H351" s="91"/>
      <c r="J351" s="10">
        <f>G349+G348+G346</f>
        <v>309564</v>
      </c>
      <c r="K351" s="10">
        <f>230630-J351</f>
        <v>-78934</v>
      </c>
    </row>
    <row r="352" spans="1:11" ht="45.75" thickBot="1" x14ac:dyDescent="0.3">
      <c r="A352" s="2" t="s">
        <v>15</v>
      </c>
      <c r="B352" s="8" t="s">
        <v>8</v>
      </c>
      <c r="C352" s="8" t="s">
        <v>8</v>
      </c>
      <c r="D352" s="6"/>
      <c r="E352" s="8" t="s">
        <v>8</v>
      </c>
      <c r="F352" s="8" t="s">
        <v>8</v>
      </c>
      <c r="G352" s="90"/>
      <c r="H352" s="91"/>
    </row>
    <row r="353" spans="1:10" ht="15.75" thickBot="1" x14ac:dyDescent="0.3">
      <c r="A353" s="2" t="s">
        <v>16</v>
      </c>
      <c r="B353" s="8" t="s">
        <v>8</v>
      </c>
      <c r="C353" s="8" t="s">
        <v>8</v>
      </c>
      <c r="D353" s="12"/>
      <c r="E353" s="6">
        <f>G353</f>
        <v>31986</v>
      </c>
      <c r="F353" s="6"/>
      <c r="G353" s="90">
        <v>31986</v>
      </c>
      <c r="H353" s="91"/>
    </row>
    <row r="354" spans="1:10" ht="15.75" thickBot="1" x14ac:dyDescent="0.3">
      <c r="A354" s="3" t="s">
        <v>17</v>
      </c>
      <c r="B354" s="6">
        <f>G354*56%</f>
        <v>87.360000000000014</v>
      </c>
      <c r="C354" s="8"/>
      <c r="D354" s="6"/>
      <c r="E354" s="6">
        <f>G354-B354</f>
        <v>68.639999999999986</v>
      </c>
      <c r="F354" s="6"/>
      <c r="G354" s="90">
        <v>156</v>
      </c>
      <c r="H354" s="91"/>
    </row>
    <row r="355" spans="1:10" ht="15.75" thickBot="1" x14ac:dyDescent="0.3">
      <c r="A355" s="3" t="s">
        <v>18</v>
      </c>
      <c r="B355" s="6"/>
      <c r="C355" s="8"/>
      <c r="D355" s="8"/>
      <c r="E355" s="6"/>
      <c r="F355" s="6"/>
      <c r="G355" s="90"/>
      <c r="H355" s="91"/>
    </row>
    <row r="356" spans="1:10" ht="45.75" thickBot="1" x14ac:dyDescent="0.3">
      <c r="A356" s="2" t="s">
        <v>19</v>
      </c>
      <c r="B356" s="6"/>
      <c r="C356" s="8"/>
      <c r="D356" s="6"/>
      <c r="E356" s="6"/>
      <c r="F356" s="6"/>
      <c r="G356" s="94"/>
      <c r="H356" s="95"/>
    </row>
    <row r="357" spans="1:10" ht="45.75" thickBot="1" x14ac:dyDescent="0.3">
      <c r="A357" s="2" t="s">
        <v>20</v>
      </c>
      <c r="B357" s="6">
        <v>0</v>
      </c>
      <c r="C357" s="8"/>
      <c r="D357" s="6"/>
      <c r="E357" s="6">
        <f>G357-B357</f>
        <v>4498</v>
      </c>
      <c r="F357" s="6"/>
      <c r="G357" s="90">
        <v>4498</v>
      </c>
      <c r="H357" s="91"/>
      <c r="J357" s="10">
        <f>G357-307</f>
        <v>4191</v>
      </c>
    </row>
    <row r="358" spans="1:10" ht="30.75" thickBot="1" x14ac:dyDescent="0.3">
      <c r="A358" s="2" t="s">
        <v>21</v>
      </c>
      <c r="B358" s="6">
        <f>G358*56%</f>
        <v>22831.200000000001</v>
      </c>
      <c r="C358" s="6"/>
      <c r="D358" s="61">
        <f>G358-B358</f>
        <v>17938.8</v>
      </c>
      <c r="E358" s="8" t="s">
        <v>8</v>
      </c>
      <c r="F358" s="8" t="s">
        <v>8</v>
      </c>
      <c r="G358" s="90">
        <f>71571-G353-G354+1341</f>
        <v>40770</v>
      </c>
      <c r="H358" s="91"/>
    </row>
    <row r="359" spans="1:10" ht="15.75" thickBot="1" x14ac:dyDescent="0.3">
      <c r="A359" s="3" t="s">
        <v>22</v>
      </c>
      <c r="B359" s="6">
        <f>G359*56%</f>
        <v>334.88000000000005</v>
      </c>
      <c r="C359" s="6"/>
      <c r="D359" s="61">
        <f>G359-B359</f>
        <v>263.11999999999995</v>
      </c>
      <c r="E359" s="8" t="s">
        <v>8</v>
      </c>
      <c r="F359" s="8" t="s">
        <v>8</v>
      </c>
      <c r="G359" s="90">
        <v>598</v>
      </c>
      <c r="H359" s="91"/>
    </row>
    <row r="360" spans="1:10" ht="15.75" thickBot="1" x14ac:dyDescent="0.3">
      <c r="A360" s="3" t="s">
        <v>23</v>
      </c>
      <c r="B360" s="8" t="s">
        <v>8</v>
      </c>
      <c r="C360" s="12"/>
      <c r="D360" s="8" t="s">
        <v>8</v>
      </c>
      <c r="E360" s="8" t="s">
        <v>8</v>
      </c>
      <c r="F360" s="8" t="s">
        <v>8</v>
      </c>
      <c r="G360" s="94"/>
      <c r="H360" s="95"/>
    </row>
    <row r="361" spans="1:10" ht="15.75" thickBot="1" x14ac:dyDescent="0.3">
      <c r="A361" s="3" t="s">
        <v>24</v>
      </c>
      <c r="B361" s="6">
        <f>G361*56%</f>
        <v>0</v>
      </c>
      <c r="C361" s="6"/>
      <c r="D361" s="6"/>
      <c r="E361" s="8" t="s">
        <v>8</v>
      </c>
      <c r="F361" s="8" t="s">
        <v>8</v>
      </c>
      <c r="G361" s="90"/>
      <c r="H361" s="91"/>
      <c r="J361" s="10">
        <f>G357-307</f>
        <v>4191</v>
      </c>
    </row>
    <row r="362" spans="1:10" ht="15.75" thickBot="1" x14ac:dyDescent="0.3">
      <c r="A362" s="4" t="s">
        <v>25</v>
      </c>
      <c r="B362" s="6">
        <f>SUM(B346:B361)</f>
        <v>276122.31999999995</v>
      </c>
      <c r="C362" s="6"/>
      <c r="D362" s="6">
        <f>SUM(D346:D361)</f>
        <v>106326.04</v>
      </c>
      <c r="E362" s="6">
        <f>SUM(E346:E361)</f>
        <v>36552.639999999999</v>
      </c>
      <c r="F362" s="6"/>
      <c r="G362" s="90">
        <f>SUM(G346:H361)</f>
        <v>419001</v>
      </c>
      <c r="H362" s="91"/>
      <c r="J362" s="10">
        <f>G362-414502</f>
        <v>4499</v>
      </c>
    </row>
    <row r="363" spans="1:10" x14ac:dyDescent="0.25">
      <c r="A363" s="92" t="s">
        <v>26</v>
      </c>
      <c r="B363" s="92"/>
      <c r="C363" s="92"/>
      <c r="D363" s="92"/>
      <c r="E363" s="92"/>
      <c r="F363" s="92"/>
      <c r="G363" s="92"/>
      <c r="H363" s="92"/>
    </row>
    <row r="364" spans="1:10" x14ac:dyDescent="0.25">
      <c r="A364" s="93" t="s">
        <v>27</v>
      </c>
      <c r="B364" s="93"/>
      <c r="C364" s="93"/>
      <c r="D364" s="93"/>
      <c r="E364" s="93"/>
      <c r="F364" s="93"/>
      <c r="G364" s="93"/>
      <c r="H364" s="93"/>
    </row>
    <row r="365" spans="1:10" x14ac:dyDescent="0.25">
      <c r="A365" s="93" t="s">
        <v>28</v>
      </c>
      <c r="B365" s="93"/>
      <c r="C365" s="93"/>
      <c r="D365" s="93"/>
      <c r="E365" s="93"/>
      <c r="F365" s="93"/>
      <c r="G365" s="93"/>
      <c r="H365" s="93"/>
    </row>
    <row r="366" spans="1:10" x14ac:dyDescent="0.25">
      <c r="A366" s="1"/>
      <c r="B366" s="9"/>
      <c r="C366" s="9"/>
      <c r="D366" s="9"/>
      <c r="E366" s="9"/>
      <c r="F366" s="9"/>
      <c r="G366" s="9"/>
      <c r="H366" s="9"/>
    </row>
    <row r="367" spans="1:10" ht="15.75" x14ac:dyDescent="0.25">
      <c r="A367" s="5"/>
    </row>
    <row r="368" spans="1:10" x14ac:dyDescent="0.25">
      <c r="B368" s="13" t="s">
        <v>222</v>
      </c>
      <c r="C368" s="13">
        <v>309903</v>
      </c>
    </row>
    <row r="369" spans="1:8" x14ac:dyDescent="0.25">
      <c r="C369" s="10">
        <f>C368-B362</f>
        <v>33780.680000000051</v>
      </c>
      <c r="D369"/>
      <c r="E369"/>
      <c r="F369"/>
      <c r="G369"/>
      <c r="H369"/>
    </row>
    <row r="370" spans="1:8" x14ac:dyDescent="0.25">
      <c r="D370"/>
      <c r="E370"/>
      <c r="F370"/>
      <c r="G370"/>
      <c r="H370"/>
    </row>
    <row r="371" spans="1:8" x14ac:dyDescent="0.25">
      <c r="D371"/>
      <c r="E371"/>
      <c r="F371"/>
      <c r="G371"/>
      <c r="H371"/>
    </row>
    <row r="372" spans="1:8" x14ac:dyDescent="0.25">
      <c r="D372"/>
      <c r="E372"/>
      <c r="F372"/>
      <c r="G372"/>
      <c r="H372"/>
    </row>
    <row r="373" spans="1:8" x14ac:dyDescent="0.25">
      <c r="A373" s="62"/>
      <c r="B373" s="63"/>
      <c r="C373" s="63"/>
      <c r="D373" s="63"/>
      <c r="E373" s="112" t="s">
        <v>29</v>
      </c>
      <c r="F373" s="112"/>
      <c r="G373" s="112"/>
      <c r="H373" s="112"/>
    </row>
    <row r="374" spans="1:8" x14ac:dyDescent="0.25">
      <c r="A374" s="113"/>
      <c r="B374" s="114"/>
      <c r="C374" s="114"/>
      <c r="D374" s="115"/>
      <c r="E374" s="115" t="s">
        <v>0</v>
      </c>
      <c r="F374" s="115"/>
      <c r="G374" s="115"/>
      <c r="H374" s="115"/>
    </row>
    <row r="375" spans="1:8" x14ac:dyDescent="0.25">
      <c r="A375" s="113"/>
      <c r="B375" s="114"/>
      <c r="C375" s="114"/>
      <c r="D375" s="115"/>
      <c r="E375" s="123" t="s">
        <v>1</v>
      </c>
      <c r="F375" s="115"/>
      <c r="G375" s="115"/>
      <c r="H375" s="115"/>
    </row>
    <row r="376" spans="1:8" ht="15.75" thickBot="1" x14ac:dyDescent="0.3">
      <c r="A376" s="98" t="s">
        <v>223</v>
      </c>
      <c r="B376" s="98"/>
      <c r="C376" s="98"/>
      <c r="D376" s="98"/>
      <c r="E376" s="98"/>
      <c r="F376" s="98"/>
      <c r="G376" s="99"/>
      <c r="H376" s="99"/>
    </row>
    <row r="377" spans="1:8" ht="15.75" thickBot="1" x14ac:dyDescent="0.3">
      <c r="A377" s="100" t="s">
        <v>2</v>
      </c>
      <c r="B377" s="103" t="s">
        <v>30</v>
      </c>
      <c r="C377" s="104"/>
      <c r="D377" s="104"/>
      <c r="E377" s="104"/>
      <c r="F377" s="104"/>
      <c r="G377" s="105" t="s">
        <v>3</v>
      </c>
      <c r="H377" s="106"/>
    </row>
    <row r="378" spans="1:8" ht="105.75" thickBot="1" x14ac:dyDescent="0.3">
      <c r="A378" s="101"/>
      <c r="B378" s="96" t="s">
        <v>30</v>
      </c>
      <c r="C378" s="107"/>
      <c r="D378" s="60" t="s">
        <v>32</v>
      </c>
      <c r="E378" s="107" t="s">
        <v>4</v>
      </c>
      <c r="F378" s="97"/>
      <c r="G378" s="108"/>
      <c r="H378" s="109"/>
    </row>
    <row r="379" spans="1:8" ht="150.75" thickBot="1" x14ac:dyDescent="0.3">
      <c r="A379" s="102"/>
      <c r="B379" s="64" t="s">
        <v>36</v>
      </c>
      <c r="C379" s="64" t="s">
        <v>5</v>
      </c>
      <c r="D379" s="64" t="s">
        <v>33</v>
      </c>
      <c r="E379" s="64" t="s">
        <v>34</v>
      </c>
      <c r="F379" s="64" t="s">
        <v>35</v>
      </c>
      <c r="G379" s="110"/>
      <c r="H379" s="111"/>
    </row>
    <row r="380" spans="1:8" ht="15.75" thickBot="1" x14ac:dyDescent="0.3">
      <c r="A380" s="59">
        <v>1</v>
      </c>
      <c r="B380" s="64">
        <v>2</v>
      </c>
      <c r="C380" s="11">
        <v>3</v>
      </c>
      <c r="D380" s="64">
        <v>4</v>
      </c>
      <c r="E380" s="11">
        <v>5</v>
      </c>
      <c r="F380" s="64">
        <v>6</v>
      </c>
      <c r="G380" s="96" t="s">
        <v>37</v>
      </c>
      <c r="H380" s="97"/>
    </row>
    <row r="381" spans="1:8" ht="60.75" thickBot="1" x14ac:dyDescent="0.3">
      <c r="A381" s="2" t="s">
        <v>7</v>
      </c>
      <c r="B381" s="6">
        <f>B382</f>
        <v>192029.96</v>
      </c>
      <c r="C381" s="12"/>
      <c r="D381" s="6">
        <f>D382</f>
        <v>60641.040000000008</v>
      </c>
      <c r="E381" s="8" t="s">
        <v>8</v>
      </c>
      <c r="F381" s="8" t="s">
        <v>8</v>
      </c>
      <c r="G381" s="90">
        <f>259047-1456-4920</f>
        <v>252671</v>
      </c>
      <c r="H381" s="91"/>
    </row>
    <row r="382" spans="1:8" ht="15.75" thickBot="1" x14ac:dyDescent="0.3">
      <c r="A382" s="3" t="s">
        <v>9</v>
      </c>
      <c r="B382" s="6">
        <f>G382*76%</f>
        <v>192029.96</v>
      </c>
      <c r="C382" s="12"/>
      <c r="D382" s="61">
        <f>G382-B382</f>
        <v>60641.040000000008</v>
      </c>
      <c r="E382" s="8" t="s">
        <v>8</v>
      </c>
      <c r="F382" s="8" t="s">
        <v>8</v>
      </c>
      <c r="G382" s="90">
        <f>G381-G383</f>
        <v>252671</v>
      </c>
      <c r="H382" s="91"/>
    </row>
    <row r="383" spans="1:8" ht="15.75" thickBot="1" x14ac:dyDescent="0.3">
      <c r="A383" s="2" t="s">
        <v>10</v>
      </c>
      <c r="B383" s="6">
        <v>0</v>
      </c>
      <c r="C383" s="12"/>
      <c r="D383" s="6">
        <v>0</v>
      </c>
      <c r="E383" s="8" t="s">
        <v>8</v>
      </c>
      <c r="F383" s="8" t="s">
        <v>8</v>
      </c>
      <c r="G383" s="116"/>
      <c r="H383" s="91"/>
    </row>
    <row r="384" spans="1:8" ht="60.75" thickBot="1" x14ac:dyDescent="0.3">
      <c r="A384" s="2" t="s">
        <v>11</v>
      </c>
      <c r="B384" s="6">
        <f>G384*76%</f>
        <v>75247.600000000006</v>
      </c>
      <c r="C384" s="12"/>
      <c r="D384" s="61">
        <f>G384-B384</f>
        <v>23762.399999999994</v>
      </c>
      <c r="E384" s="8" t="s">
        <v>8</v>
      </c>
      <c r="F384" s="8" t="s">
        <v>8</v>
      </c>
      <c r="G384" s="90">
        <f>100657-947-700</f>
        <v>99010</v>
      </c>
      <c r="H384" s="91"/>
    </row>
    <row r="385" spans="1:11" ht="30.75" thickBot="1" x14ac:dyDescent="0.3">
      <c r="A385" s="2" t="s">
        <v>12</v>
      </c>
      <c r="B385" s="6">
        <f>G385*76%</f>
        <v>6097.4800000000005</v>
      </c>
      <c r="C385" s="12"/>
      <c r="D385" s="61">
        <f>G385-B385</f>
        <v>1925.5199999999995</v>
      </c>
      <c r="E385" s="8" t="s">
        <v>8</v>
      </c>
      <c r="F385" s="8" t="s">
        <v>8</v>
      </c>
      <c r="G385" s="90">
        <f>1456+4920+947+700</f>
        <v>8023</v>
      </c>
      <c r="H385" s="91"/>
    </row>
    <row r="386" spans="1:11" ht="15.75" thickBot="1" x14ac:dyDescent="0.3">
      <c r="A386" s="2" t="s">
        <v>13</v>
      </c>
      <c r="B386" s="6">
        <f>G386*56%</f>
        <v>0</v>
      </c>
      <c r="C386" s="6"/>
      <c r="D386" s="61">
        <f>G386-B386</f>
        <v>0</v>
      </c>
      <c r="E386" s="8" t="s">
        <v>8</v>
      </c>
      <c r="F386" s="8" t="s">
        <v>8</v>
      </c>
      <c r="G386" s="90">
        <v>0</v>
      </c>
      <c r="H386" s="91"/>
    </row>
    <row r="387" spans="1:11" ht="30.75" thickBot="1" x14ac:dyDescent="0.3">
      <c r="A387" s="2" t="s">
        <v>14</v>
      </c>
      <c r="B387" s="6">
        <f>G387*56%</f>
        <v>18176.480000000003</v>
      </c>
      <c r="C387" s="6"/>
      <c r="D387" s="61">
        <f>G387-B387</f>
        <v>14281.519999999997</v>
      </c>
      <c r="E387" s="8" t="s">
        <v>8</v>
      </c>
      <c r="F387" s="8" t="s">
        <v>8</v>
      </c>
      <c r="G387" s="90">
        <v>32458</v>
      </c>
      <c r="H387" s="91"/>
      <c r="J387" s="10">
        <f>G385+G384+G382</f>
        <v>359704</v>
      </c>
      <c r="K387" s="10">
        <f>271725-J387</f>
        <v>-87979</v>
      </c>
    </row>
    <row r="388" spans="1:11" ht="45.75" thickBot="1" x14ac:dyDescent="0.3">
      <c r="A388" s="2" t="s">
        <v>15</v>
      </c>
      <c r="B388" s="8" t="s">
        <v>8</v>
      </c>
      <c r="C388" s="8" t="s">
        <v>8</v>
      </c>
      <c r="D388" s="6"/>
      <c r="E388" s="8" t="s">
        <v>8</v>
      </c>
      <c r="F388" s="8" t="s">
        <v>8</v>
      </c>
      <c r="G388" s="90"/>
      <c r="H388" s="91"/>
    </row>
    <row r="389" spans="1:11" ht="15.75" thickBot="1" x14ac:dyDescent="0.3">
      <c r="A389" s="2" t="s">
        <v>16</v>
      </c>
      <c r="B389" s="8" t="s">
        <v>8</v>
      </c>
      <c r="C389" s="8" t="s">
        <v>8</v>
      </c>
      <c r="D389" s="12"/>
      <c r="E389" s="6">
        <f>G389</f>
        <v>34986</v>
      </c>
      <c r="F389" s="6"/>
      <c r="G389" s="90">
        <v>34986</v>
      </c>
      <c r="H389" s="91"/>
    </row>
    <row r="390" spans="1:11" ht="15.75" thickBot="1" x14ac:dyDescent="0.3">
      <c r="A390" s="3" t="s">
        <v>17</v>
      </c>
      <c r="B390" s="6">
        <f>G390*56%</f>
        <v>87.360000000000014</v>
      </c>
      <c r="C390" s="8"/>
      <c r="D390" s="6"/>
      <c r="E390" s="6">
        <f>G390-B390</f>
        <v>68.639999999999986</v>
      </c>
      <c r="F390" s="6"/>
      <c r="G390" s="90">
        <v>156</v>
      </c>
      <c r="H390" s="91"/>
    </row>
    <row r="391" spans="1:11" ht="15.75" thickBot="1" x14ac:dyDescent="0.3">
      <c r="A391" s="3" t="s">
        <v>18</v>
      </c>
      <c r="B391" s="6"/>
      <c r="C391" s="8"/>
      <c r="D391" s="8"/>
      <c r="E391" s="6"/>
      <c r="F391" s="6"/>
      <c r="G391" s="90"/>
      <c r="H391" s="91"/>
    </row>
    <row r="392" spans="1:11" ht="45.75" thickBot="1" x14ac:dyDescent="0.3">
      <c r="A392" s="2" t="s">
        <v>19</v>
      </c>
      <c r="B392" s="6"/>
      <c r="C392" s="8"/>
      <c r="D392" s="6"/>
      <c r="E392" s="6"/>
      <c r="F392" s="6"/>
      <c r="G392" s="94"/>
      <c r="H392" s="95"/>
    </row>
    <row r="393" spans="1:11" ht="45.75" thickBot="1" x14ac:dyDescent="0.3">
      <c r="A393" s="2" t="s">
        <v>20</v>
      </c>
      <c r="B393" s="6">
        <v>0</v>
      </c>
      <c r="C393" s="8"/>
      <c r="D393" s="6"/>
      <c r="E393" s="6">
        <f>G393-B393</f>
        <v>5119</v>
      </c>
      <c r="F393" s="6"/>
      <c r="G393" s="90">
        <v>5119</v>
      </c>
      <c r="H393" s="91"/>
      <c r="J393" s="10">
        <f>G393-307</f>
        <v>4812</v>
      </c>
    </row>
    <row r="394" spans="1:11" ht="30.75" thickBot="1" x14ac:dyDescent="0.3">
      <c r="A394" s="2" t="s">
        <v>21</v>
      </c>
      <c r="B394" s="6">
        <f>G394*56%</f>
        <v>26270.720000000001</v>
      </c>
      <c r="C394" s="6"/>
      <c r="D394" s="61">
        <f>G394-B394</f>
        <v>20641.28</v>
      </c>
      <c r="E394" s="8" t="s">
        <v>8</v>
      </c>
      <c r="F394" s="8" t="s">
        <v>8</v>
      </c>
      <c r="G394" s="90">
        <f>80623-G389-G390+1431</f>
        <v>46912</v>
      </c>
      <c r="H394" s="91"/>
    </row>
    <row r="395" spans="1:11" ht="15.75" thickBot="1" x14ac:dyDescent="0.3">
      <c r="A395" s="3" t="s">
        <v>22</v>
      </c>
      <c r="B395" s="6">
        <f>G395*56%</f>
        <v>356.72</v>
      </c>
      <c r="C395" s="6"/>
      <c r="D395" s="61">
        <f>G395-B395</f>
        <v>280.27999999999997</v>
      </c>
      <c r="E395" s="8" t="s">
        <v>8</v>
      </c>
      <c r="F395" s="8" t="s">
        <v>8</v>
      </c>
      <c r="G395" s="90">
        <v>637</v>
      </c>
      <c r="H395" s="91"/>
    </row>
    <row r="396" spans="1:11" ht="15.75" thickBot="1" x14ac:dyDescent="0.3">
      <c r="A396" s="3" t="s">
        <v>23</v>
      </c>
      <c r="B396" s="8" t="s">
        <v>8</v>
      </c>
      <c r="C396" s="12"/>
      <c r="D396" s="8" t="s">
        <v>8</v>
      </c>
      <c r="E396" s="8" t="s">
        <v>8</v>
      </c>
      <c r="F396" s="8" t="s">
        <v>8</v>
      </c>
      <c r="G396" s="94"/>
      <c r="H396" s="95"/>
    </row>
    <row r="397" spans="1:11" ht="15.75" thickBot="1" x14ac:dyDescent="0.3">
      <c r="A397" s="3" t="s">
        <v>24</v>
      </c>
      <c r="B397" s="6">
        <f>G397*56%</f>
        <v>0</v>
      </c>
      <c r="C397" s="6"/>
      <c r="D397" s="6"/>
      <c r="E397" s="8" t="s">
        <v>8</v>
      </c>
      <c r="F397" s="8" t="s">
        <v>8</v>
      </c>
      <c r="G397" s="90"/>
      <c r="H397" s="91"/>
      <c r="J397" s="10">
        <f>G393-307</f>
        <v>4812</v>
      </c>
    </row>
    <row r="398" spans="1:11" ht="15.75" thickBot="1" x14ac:dyDescent="0.3">
      <c r="A398" s="4" t="s">
        <v>25</v>
      </c>
      <c r="B398" s="6">
        <f>SUM(B382:B397)</f>
        <v>318266.31999999995</v>
      </c>
      <c r="C398" s="6"/>
      <c r="D398" s="6">
        <f>SUM(D382:D397)</f>
        <v>121532.04000000001</v>
      </c>
      <c r="E398" s="6">
        <f>SUM(E382:E397)</f>
        <v>40173.64</v>
      </c>
      <c r="F398" s="6"/>
      <c r="G398" s="90">
        <f>SUM(G382:H397)</f>
        <v>479972</v>
      </c>
      <c r="H398" s="91"/>
      <c r="J398" s="10">
        <f>G398-474853</f>
        <v>5119</v>
      </c>
    </row>
    <row r="399" spans="1:11" x14ac:dyDescent="0.25">
      <c r="A399" s="92" t="s">
        <v>26</v>
      </c>
      <c r="B399" s="92"/>
      <c r="C399" s="92"/>
      <c r="D399" s="92"/>
      <c r="E399" s="92"/>
      <c r="F399" s="92"/>
      <c r="G399" s="92"/>
      <c r="H399" s="92"/>
    </row>
    <row r="400" spans="1:11" x14ac:dyDescent="0.25">
      <c r="A400" s="93" t="s">
        <v>27</v>
      </c>
      <c r="B400" s="93"/>
      <c r="C400" s="93"/>
      <c r="D400" s="93"/>
      <c r="E400" s="93"/>
      <c r="F400" s="93"/>
      <c r="G400" s="93"/>
      <c r="H400" s="93"/>
    </row>
    <row r="401" spans="1:8" x14ac:dyDescent="0.25">
      <c r="A401" s="93" t="s">
        <v>28</v>
      </c>
      <c r="B401" s="93"/>
      <c r="C401" s="93"/>
      <c r="D401" s="93"/>
      <c r="E401" s="93"/>
      <c r="F401" s="93"/>
      <c r="G401" s="93"/>
      <c r="H401" s="93"/>
    </row>
    <row r="402" spans="1:8" x14ac:dyDescent="0.25">
      <c r="A402" s="1"/>
      <c r="B402" s="9"/>
      <c r="C402" s="9"/>
      <c r="D402" s="9"/>
      <c r="E402" s="9"/>
      <c r="F402" s="9"/>
      <c r="G402" s="9"/>
      <c r="H402" s="9"/>
    </row>
    <row r="403" spans="1:8" ht="15.75" x14ac:dyDescent="0.25">
      <c r="A403" s="5"/>
    </row>
    <row r="404" spans="1:8" x14ac:dyDescent="0.25">
      <c r="B404" s="13" t="s">
        <v>224</v>
      </c>
      <c r="C404" s="13">
        <v>345128</v>
      </c>
    </row>
    <row r="405" spans="1:8" x14ac:dyDescent="0.25">
      <c r="C405" s="10">
        <f>C404-B398</f>
        <v>26861.680000000051</v>
      </c>
      <c r="D405"/>
      <c r="E405"/>
      <c r="F405"/>
      <c r="G405"/>
      <c r="H405"/>
    </row>
    <row r="406" spans="1:8" x14ac:dyDescent="0.25">
      <c r="D406"/>
      <c r="E406"/>
      <c r="F406"/>
      <c r="G406"/>
      <c r="H406"/>
    </row>
    <row r="407" spans="1:8" x14ac:dyDescent="0.25">
      <c r="D407"/>
      <c r="E407"/>
      <c r="F407"/>
      <c r="G407"/>
      <c r="H407"/>
    </row>
    <row r="408" spans="1:8" x14ac:dyDescent="0.25">
      <c r="D408"/>
      <c r="E408"/>
      <c r="F408"/>
      <c r="G408"/>
      <c r="H408"/>
    </row>
    <row r="409" spans="1:8" x14ac:dyDescent="0.25">
      <c r="D409"/>
      <c r="E409"/>
      <c r="F409"/>
      <c r="G409"/>
      <c r="H409"/>
    </row>
    <row r="410" spans="1:8" x14ac:dyDescent="0.25">
      <c r="D410"/>
      <c r="E410"/>
      <c r="F410"/>
      <c r="G410"/>
      <c r="H410"/>
    </row>
    <row r="411" spans="1:8" x14ac:dyDescent="0.25">
      <c r="A411" s="76"/>
      <c r="B411" s="77"/>
      <c r="C411" s="77"/>
      <c r="D411" s="77"/>
      <c r="E411" s="112" t="s">
        <v>29</v>
      </c>
      <c r="F411" s="112"/>
      <c r="G411" s="112"/>
      <c r="H411" s="112"/>
    </row>
    <row r="412" spans="1:8" x14ac:dyDescent="0.25">
      <c r="A412" s="113"/>
      <c r="B412" s="114"/>
      <c r="C412" s="114"/>
      <c r="D412" s="115"/>
      <c r="E412" s="115" t="s">
        <v>0</v>
      </c>
      <c r="F412" s="115"/>
      <c r="G412" s="115"/>
      <c r="H412" s="115"/>
    </row>
    <row r="413" spans="1:8" x14ac:dyDescent="0.25">
      <c r="A413" s="113"/>
      <c r="B413" s="114"/>
      <c r="C413" s="114"/>
      <c r="D413" s="115"/>
      <c r="E413" s="123" t="s">
        <v>1</v>
      </c>
      <c r="F413" s="115"/>
      <c r="G413" s="115"/>
      <c r="H413" s="115"/>
    </row>
    <row r="414" spans="1:8" ht="15.75" thickBot="1" x14ac:dyDescent="0.3">
      <c r="A414" s="98" t="s">
        <v>225</v>
      </c>
      <c r="B414" s="98"/>
      <c r="C414" s="98"/>
      <c r="D414" s="98"/>
      <c r="E414" s="98"/>
      <c r="F414" s="98"/>
      <c r="G414" s="99"/>
      <c r="H414" s="99"/>
    </row>
    <row r="415" spans="1:8" hidden="1" x14ac:dyDescent="0.25">
      <c r="A415" s="121" t="s">
        <v>178</v>
      </c>
      <c r="B415" s="122"/>
      <c r="C415" s="122"/>
      <c r="D415" s="122"/>
      <c r="E415" s="122"/>
      <c r="F415" s="122"/>
      <c r="G415" s="122"/>
      <c r="H415" s="122"/>
    </row>
    <row r="416" spans="1:8" hidden="1" x14ac:dyDescent="0.25">
      <c r="A416" s="122"/>
      <c r="B416" s="122"/>
      <c r="C416" s="122"/>
      <c r="D416" s="122"/>
      <c r="E416" s="122"/>
      <c r="F416" s="122"/>
      <c r="G416" s="122"/>
      <c r="H416" s="122"/>
    </row>
    <row r="417" spans="1:11" hidden="1" x14ac:dyDescent="0.25">
      <c r="A417" s="122"/>
      <c r="B417" s="122"/>
      <c r="C417" s="122"/>
      <c r="D417" s="122"/>
      <c r="E417" s="122"/>
      <c r="F417" s="122"/>
      <c r="G417" s="122"/>
      <c r="H417" s="122"/>
    </row>
    <row r="418" spans="1:11" hidden="1" x14ac:dyDescent="0.25">
      <c r="A418" s="122"/>
      <c r="B418" s="122"/>
      <c r="C418" s="122"/>
      <c r="D418" s="122"/>
      <c r="E418" s="122"/>
      <c r="F418" s="122"/>
      <c r="G418" s="122"/>
      <c r="H418" s="122"/>
    </row>
    <row r="419" spans="1:11" ht="58.15" hidden="1" customHeight="1" x14ac:dyDescent="0.25">
      <c r="A419" s="122"/>
      <c r="B419" s="122"/>
      <c r="C419" s="122"/>
      <c r="D419" s="122"/>
      <c r="E419" s="122"/>
      <c r="F419" s="122"/>
      <c r="G419" s="122"/>
      <c r="H419" s="122"/>
    </row>
    <row r="420" spans="1:11" ht="15.75" hidden="1" thickBot="1" x14ac:dyDescent="0.3">
      <c r="A420" s="98" t="s">
        <v>225</v>
      </c>
      <c r="B420" s="98"/>
      <c r="C420" s="98"/>
      <c r="D420" s="98"/>
      <c r="E420" s="98"/>
      <c r="F420" s="98"/>
      <c r="G420" s="99"/>
      <c r="H420" s="99"/>
    </row>
    <row r="421" spans="1:11" ht="15.75" thickBot="1" x14ac:dyDescent="0.3">
      <c r="A421" s="100" t="s">
        <v>2</v>
      </c>
      <c r="B421" s="103" t="s">
        <v>30</v>
      </c>
      <c r="C421" s="104"/>
      <c r="D421" s="104"/>
      <c r="E421" s="104"/>
      <c r="F421" s="104"/>
      <c r="G421" s="105" t="s">
        <v>3</v>
      </c>
      <c r="H421" s="106"/>
    </row>
    <row r="422" spans="1:11" ht="105.75" thickBot="1" x14ac:dyDescent="0.3">
      <c r="A422" s="101"/>
      <c r="B422" s="96" t="s">
        <v>172</v>
      </c>
      <c r="C422" s="107"/>
      <c r="D422" s="60" t="s">
        <v>32</v>
      </c>
      <c r="E422" s="107" t="s">
        <v>4</v>
      </c>
      <c r="F422" s="97"/>
      <c r="G422" s="108"/>
      <c r="H422" s="109"/>
    </row>
    <row r="423" spans="1:11" ht="150.75" thickBot="1" x14ac:dyDescent="0.3">
      <c r="A423" s="102"/>
      <c r="B423" s="64" t="s">
        <v>36</v>
      </c>
      <c r="C423" s="64" t="s">
        <v>5</v>
      </c>
      <c r="D423" s="64" t="s">
        <v>33</v>
      </c>
      <c r="E423" s="64" t="s">
        <v>34</v>
      </c>
      <c r="F423" s="64" t="s">
        <v>35</v>
      </c>
      <c r="G423" s="110"/>
      <c r="H423" s="111"/>
    </row>
    <row r="424" spans="1:11" ht="15.75" thickBot="1" x14ac:dyDescent="0.3">
      <c r="A424" s="59">
        <v>1</v>
      </c>
      <c r="B424" s="64">
        <v>2</v>
      </c>
      <c r="C424" s="11">
        <v>3</v>
      </c>
      <c r="D424" s="64">
        <v>4</v>
      </c>
      <c r="E424" s="11">
        <v>5</v>
      </c>
      <c r="F424" s="64">
        <v>6</v>
      </c>
      <c r="G424" s="96" t="s">
        <v>37</v>
      </c>
      <c r="H424" s="97"/>
    </row>
    <row r="425" spans="1:11" ht="60.75" thickBot="1" x14ac:dyDescent="0.3">
      <c r="A425" s="2" t="s">
        <v>7</v>
      </c>
      <c r="B425" s="6">
        <f>B426</f>
        <v>212008.08000000002</v>
      </c>
      <c r="C425" s="53" t="s">
        <v>8</v>
      </c>
      <c r="D425" s="6">
        <f>D426</f>
        <v>66949.919999999984</v>
      </c>
      <c r="E425" s="8" t="s">
        <v>8</v>
      </c>
      <c r="F425" s="8" t="s">
        <v>8</v>
      </c>
      <c r="G425" s="90">
        <f>285475-1597-4920</f>
        <v>278958</v>
      </c>
      <c r="H425" s="91"/>
    </row>
    <row r="426" spans="1:11" ht="15.75" thickBot="1" x14ac:dyDescent="0.3">
      <c r="A426" s="3" t="s">
        <v>9</v>
      </c>
      <c r="B426" s="6">
        <f>G426*76%</f>
        <v>212008.08000000002</v>
      </c>
      <c r="C426" s="53" t="s">
        <v>8</v>
      </c>
      <c r="D426" s="61">
        <f>G426-B426</f>
        <v>66949.919999999984</v>
      </c>
      <c r="E426" s="8" t="s">
        <v>8</v>
      </c>
      <c r="F426" s="8" t="s">
        <v>8</v>
      </c>
      <c r="G426" s="90">
        <f>G425-G427</f>
        <v>278958</v>
      </c>
      <c r="H426" s="91"/>
    </row>
    <row r="427" spans="1:11" ht="15.75" thickBot="1" x14ac:dyDescent="0.3">
      <c r="A427" s="2" t="s">
        <v>10</v>
      </c>
      <c r="B427" s="6">
        <v>0</v>
      </c>
      <c r="C427" s="53" t="s">
        <v>8</v>
      </c>
      <c r="D427" s="6">
        <v>0</v>
      </c>
      <c r="E427" s="8" t="s">
        <v>8</v>
      </c>
      <c r="F427" s="8" t="s">
        <v>8</v>
      </c>
      <c r="G427" s="116"/>
      <c r="H427" s="91"/>
    </row>
    <row r="428" spans="1:11" ht="60.75" thickBot="1" x14ac:dyDescent="0.3">
      <c r="A428" s="2" t="s">
        <v>11</v>
      </c>
      <c r="B428" s="6">
        <f>G428*76%</f>
        <v>82652.28</v>
      </c>
      <c r="C428" s="53" t="s">
        <v>8</v>
      </c>
      <c r="D428" s="61">
        <f>G428-B428</f>
        <v>26100.720000000001</v>
      </c>
      <c r="E428" s="8" t="s">
        <v>8</v>
      </c>
      <c r="F428" s="8" t="s">
        <v>8</v>
      </c>
      <c r="G428" s="90">
        <f>110463-700-1010</f>
        <v>108753</v>
      </c>
      <c r="H428" s="91"/>
    </row>
    <row r="429" spans="1:11" ht="30.75" thickBot="1" x14ac:dyDescent="0.3">
      <c r="A429" s="2" t="s">
        <v>12</v>
      </c>
      <c r="B429" s="6">
        <f>G429*76%</f>
        <v>6252.52</v>
      </c>
      <c r="C429" s="53" t="s">
        <v>8</v>
      </c>
      <c r="D429" s="61">
        <f>G429-B429</f>
        <v>1974.4799999999996</v>
      </c>
      <c r="E429" s="8" t="s">
        <v>8</v>
      </c>
      <c r="F429" s="8" t="s">
        <v>8</v>
      </c>
      <c r="G429" s="90">
        <f>1597+4920+700+1010</f>
        <v>8227</v>
      </c>
      <c r="H429" s="91"/>
    </row>
    <row r="430" spans="1:11" ht="15.75" thickBot="1" x14ac:dyDescent="0.3">
      <c r="A430" s="2" t="s">
        <v>13</v>
      </c>
      <c r="B430" s="6">
        <f>G430*58%</f>
        <v>0</v>
      </c>
      <c r="C430" s="53" t="s">
        <v>8</v>
      </c>
      <c r="D430" s="61">
        <f>G430-B430</f>
        <v>0</v>
      </c>
      <c r="E430" s="8" t="s">
        <v>8</v>
      </c>
      <c r="F430" s="8" t="s">
        <v>8</v>
      </c>
      <c r="G430" s="90">
        <v>0</v>
      </c>
      <c r="H430" s="91"/>
    </row>
    <row r="431" spans="1:11" ht="30.75" thickBot="1" x14ac:dyDescent="0.3">
      <c r="A431" s="2" t="s">
        <v>14</v>
      </c>
      <c r="B431" s="6">
        <f>G431*58%</f>
        <v>20301.16</v>
      </c>
      <c r="C431" s="53" t="s">
        <v>8</v>
      </c>
      <c r="D431" s="61">
        <f>G431-B431</f>
        <v>14700.84</v>
      </c>
      <c r="E431" s="8" t="s">
        <v>8</v>
      </c>
      <c r="F431" s="8" t="s">
        <v>8</v>
      </c>
      <c r="G431" s="90">
        <v>35002</v>
      </c>
      <c r="H431" s="91"/>
      <c r="J431" s="10">
        <f>G429+G428+G426</f>
        <v>395938</v>
      </c>
      <c r="K431" s="10">
        <f>271725-J431</f>
        <v>-124213</v>
      </c>
    </row>
    <row r="432" spans="1:11" ht="45.75" thickBot="1" x14ac:dyDescent="0.3">
      <c r="A432" s="2" t="s">
        <v>15</v>
      </c>
      <c r="B432" s="8" t="s">
        <v>8</v>
      </c>
      <c r="C432" s="8" t="s">
        <v>8</v>
      </c>
      <c r="D432" s="6"/>
      <c r="E432" s="8" t="s">
        <v>8</v>
      </c>
      <c r="F432" s="8" t="s">
        <v>8</v>
      </c>
      <c r="G432" s="90"/>
      <c r="H432" s="91"/>
    </row>
    <row r="433" spans="1:10" ht="15.75" thickBot="1" x14ac:dyDescent="0.3">
      <c r="A433" s="2" t="s">
        <v>16</v>
      </c>
      <c r="B433" s="8" t="s">
        <v>8</v>
      </c>
      <c r="C433" s="8" t="s">
        <v>8</v>
      </c>
      <c r="D433" s="8" t="s">
        <v>8</v>
      </c>
      <c r="E433" s="6">
        <f>G433</f>
        <v>40986</v>
      </c>
      <c r="F433" s="6"/>
      <c r="G433" s="90">
        <v>40986</v>
      </c>
      <c r="H433" s="91"/>
    </row>
    <row r="434" spans="1:10" ht="15.75" thickBot="1" x14ac:dyDescent="0.3">
      <c r="A434" s="3" t="s">
        <v>17</v>
      </c>
      <c r="B434" s="8" t="s">
        <v>8</v>
      </c>
      <c r="C434" s="8" t="s">
        <v>8</v>
      </c>
      <c r="D434" s="8" t="s">
        <v>8</v>
      </c>
      <c r="E434" s="6">
        <f>G434</f>
        <v>156</v>
      </c>
      <c r="F434" s="6"/>
      <c r="G434" s="90">
        <v>156</v>
      </c>
      <c r="H434" s="91"/>
    </row>
    <row r="435" spans="1:10" ht="15.75" thickBot="1" x14ac:dyDescent="0.3">
      <c r="A435" s="3" t="s">
        <v>18</v>
      </c>
      <c r="B435" s="8" t="s">
        <v>8</v>
      </c>
      <c r="C435" s="8" t="s">
        <v>8</v>
      </c>
      <c r="D435" s="8" t="s">
        <v>8</v>
      </c>
      <c r="E435" s="6"/>
      <c r="F435" s="6"/>
      <c r="G435" s="90"/>
      <c r="H435" s="91"/>
    </row>
    <row r="436" spans="1:10" ht="45.75" thickBot="1" x14ac:dyDescent="0.3">
      <c r="A436" s="2" t="s">
        <v>19</v>
      </c>
      <c r="B436" s="8" t="s">
        <v>8</v>
      </c>
      <c r="C436" s="8" t="s">
        <v>8</v>
      </c>
      <c r="D436" s="8" t="s">
        <v>8</v>
      </c>
      <c r="E436" s="6"/>
      <c r="F436" s="6"/>
      <c r="G436" s="94"/>
      <c r="H436" s="95"/>
    </row>
    <row r="437" spans="1:10" ht="45.75" thickBot="1" x14ac:dyDescent="0.3">
      <c r="A437" s="2" t="s">
        <v>20</v>
      </c>
      <c r="B437" s="8" t="s">
        <v>8</v>
      </c>
      <c r="C437" s="8" t="s">
        <v>8</v>
      </c>
      <c r="D437" s="8" t="s">
        <v>8</v>
      </c>
      <c r="E437" s="6">
        <f>G437</f>
        <v>5794</v>
      </c>
      <c r="F437" s="6"/>
      <c r="G437" s="90">
        <v>5794</v>
      </c>
      <c r="H437" s="91"/>
      <c r="J437" s="10">
        <f>G437-307</f>
        <v>5487</v>
      </c>
    </row>
    <row r="438" spans="1:10" ht="30.75" thickBot="1" x14ac:dyDescent="0.3">
      <c r="A438" s="2" t="s">
        <v>21</v>
      </c>
      <c r="B438" s="6">
        <f>G438*58%</f>
        <v>27577.26</v>
      </c>
      <c r="C438" s="8" t="s">
        <v>8</v>
      </c>
      <c r="D438" s="61">
        <f>G438-B438</f>
        <v>19969.740000000002</v>
      </c>
      <c r="E438" s="8" t="s">
        <v>8</v>
      </c>
      <c r="F438" s="8" t="s">
        <v>8</v>
      </c>
      <c r="G438" s="90">
        <f>87258-G433-G434+1431</f>
        <v>47547</v>
      </c>
      <c r="H438" s="91"/>
    </row>
    <row r="439" spans="1:10" ht="15.75" thickBot="1" x14ac:dyDescent="0.3">
      <c r="A439" s="3" t="s">
        <v>22</v>
      </c>
      <c r="B439" s="6">
        <f>G439*58%</f>
        <v>393.23999999999995</v>
      </c>
      <c r="C439" s="8" t="s">
        <v>8</v>
      </c>
      <c r="D439" s="61">
        <f>G439-B439</f>
        <v>284.76000000000005</v>
      </c>
      <c r="E439" s="8" t="s">
        <v>8</v>
      </c>
      <c r="F439" s="8" t="s">
        <v>8</v>
      </c>
      <c r="G439" s="90">
        <v>678</v>
      </c>
      <c r="H439" s="91"/>
    </row>
    <row r="440" spans="1:10" ht="15.75" thickBot="1" x14ac:dyDescent="0.3">
      <c r="A440" s="3" t="s">
        <v>23</v>
      </c>
      <c r="B440" s="8" t="s">
        <v>8</v>
      </c>
      <c r="C440" s="8"/>
      <c r="D440" s="8" t="s">
        <v>8</v>
      </c>
      <c r="E440" s="8" t="s">
        <v>8</v>
      </c>
      <c r="F440" s="8" t="s">
        <v>8</v>
      </c>
      <c r="G440" s="94"/>
      <c r="H440" s="95"/>
    </row>
    <row r="441" spans="1:10" ht="15.75" thickBot="1" x14ac:dyDescent="0.3">
      <c r="A441" s="3" t="s">
        <v>24</v>
      </c>
      <c r="B441" s="6">
        <f>G441*58%</f>
        <v>0</v>
      </c>
      <c r="C441" s="8" t="s">
        <v>8</v>
      </c>
      <c r="D441" s="6"/>
      <c r="E441" s="8" t="s">
        <v>8</v>
      </c>
      <c r="F441" s="8" t="s">
        <v>8</v>
      </c>
      <c r="G441" s="90"/>
      <c r="H441" s="91"/>
      <c r="J441" s="10">
        <f>G437-307</f>
        <v>5487</v>
      </c>
    </row>
    <row r="442" spans="1:10" ht="15.75" thickBot="1" x14ac:dyDescent="0.3">
      <c r="A442" s="4" t="s">
        <v>25</v>
      </c>
      <c r="B442" s="6">
        <f>SUM(B426:B441)</f>
        <v>349184.54</v>
      </c>
      <c r="C442" s="6"/>
      <c r="D442" s="6">
        <f>SUM(D426:D441)</f>
        <v>129980.45999999998</v>
      </c>
      <c r="E442" s="6">
        <f>SUM(E426:E441)</f>
        <v>46936</v>
      </c>
      <c r="F442" s="6"/>
      <c r="G442" s="90">
        <f>SUM(G426:H441)</f>
        <v>526101</v>
      </c>
      <c r="H442" s="91"/>
      <c r="J442" s="10">
        <f>G442-520306</f>
        <v>5795</v>
      </c>
    </row>
    <row r="443" spans="1:10" x14ac:dyDescent="0.25">
      <c r="A443" s="117" t="s">
        <v>173</v>
      </c>
      <c r="B443" s="118"/>
      <c r="C443" s="118"/>
      <c r="D443" s="118"/>
      <c r="E443" s="118"/>
      <c r="F443" s="118"/>
      <c r="G443" s="118"/>
      <c r="H443" s="118"/>
      <c r="J443" s="10"/>
    </row>
    <row r="444" spans="1:10" x14ac:dyDescent="0.25">
      <c r="A444" s="119"/>
      <c r="B444" s="119"/>
      <c r="C444" s="119"/>
      <c r="D444" s="119"/>
      <c r="E444" s="119"/>
      <c r="F444" s="119"/>
      <c r="G444" s="119"/>
      <c r="H444" s="119"/>
      <c r="J444" s="10"/>
    </row>
    <row r="445" spans="1:10" x14ac:dyDescent="0.25">
      <c r="A445" s="119"/>
      <c r="B445" s="119"/>
      <c r="C445" s="119"/>
      <c r="D445" s="119"/>
      <c r="E445" s="119"/>
      <c r="F445" s="119"/>
      <c r="G445" s="119"/>
      <c r="H445" s="119"/>
      <c r="J445" s="10"/>
    </row>
    <row r="446" spans="1:10" x14ac:dyDescent="0.25">
      <c r="A446" s="120"/>
      <c r="B446" s="120"/>
      <c r="C446" s="120"/>
      <c r="D446" s="120"/>
      <c r="E446" s="120"/>
      <c r="F446" s="120"/>
      <c r="G446" s="120"/>
      <c r="H446" s="120"/>
      <c r="J446" s="10"/>
    </row>
    <row r="447" spans="1:10" x14ac:dyDescent="0.25">
      <c r="A447" s="52"/>
      <c r="B447" s="51" t="s">
        <v>226</v>
      </c>
      <c r="C447" s="81">
        <v>376728</v>
      </c>
      <c r="D447" s="51"/>
      <c r="E447" s="51"/>
      <c r="F447" s="51"/>
      <c r="G447" s="51"/>
      <c r="H447" s="51"/>
    </row>
    <row r="448" spans="1:10" x14ac:dyDescent="0.25">
      <c r="C448" s="10">
        <f>C447-B442</f>
        <v>27543.460000000021</v>
      </c>
      <c r="D448"/>
      <c r="E448"/>
      <c r="F448"/>
      <c r="G448"/>
      <c r="H448"/>
    </row>
    <row r="449" spans="1:8" x14ac:dyDescent="0.25">
      <c r="D449"/>
      <c r="E449"/>
      <c r="F449"/>
      <c r="G449"/>
      <c r="H449"/>
    </row>
    <row r="450" spans="1:8" x14ac:dyDescent="0.25">
      <c r="D450"/>
      <c r="E450"/>
      <c r="F450"/>
      <c r="G450"/>
      <c r="H450"/>
    </row>
    <row r="451" spans="1:8" s="79" customFormat="1" x14ac:dyDescent="0.25">
      <c r="B451" s="80"/>
      <c r="C451" s="80"/>
    </row>
    <row r="452" spans="1:8" s="79" customFormat="1" x14ac:dyDescent="0.25">
      <c r="B452" s="80"/>
      <c r="C452" s="80"/>
      <c r="D452" s="80"/>
      <c r="E452" s="80"/>
      <c r="F452" s="80"/>
      <c r="G452" s="80"/>
      <c r="H452" s="80"/>
    </row>
    <row r="453" spans="1:8" s="79" customFormat="1" x14ac:dyDescent="0.25">
      <c r="B453" s="80"/>
      <c r="C453" s="80"/>
      <c r="D453" s="80"/>
      <c r="E453" s="80"/>
      <c r="F453" s="80"/>
      <c r="G453" s="80"/>
      <c r="H453" s="80"/>
    </row>
    <row r="456" spans="1:8" x14ac:dyDescent="0.25">
      <c r="A456" s="62"/>
      <c r="B456" s="63"/>
      <c r="C456" s="63"/>
      <c r="D456" s="63"/>
      <c r="E456" s="112" t="s">
        <v>29</v>
      </c>
      <c r="F456" s="112"/>
      <c r="G456" s="112"/>
      <c r="H456" s="112"/>
    </row>
    <row r="457" spans="1:8" x14ac:dyDescent="0.25">
      <c r="A457" s="113"/>
      <c r="B457" s="114"/>
      <c r="C457" s="114"/>
      <c r="D457" s="115"/>
      <c r="E457" s="115" t="s">
        <v>0</v>
      </c>
      <c r="F457" s="115"/>
      <c r="G457" s="115"/>
      <c r="H457" s="115"/>
    </row>
    <row r="458" spans="1:8" x14ac:dyDescent="0.25">
      <c r="A458" s="113"/>
      <c r="B458" s="114"/>
      <c r="C458" s="114"/>
      <c r="D458" s="115"/>
      <c r="E458" s="115" t="s">
        <v>1</v>
      </c>
      <c r="F458" s="115"/>
      <c r="G458" s="115"/>
      <c r="H458" s="115"/>
    </row>
    <row r="459" spans="1:8" ht="15.75" thickBot="1" x14ac:dyDescent="0.3">
      <c r="A459" s="98" t="s">
        <v>39</v>
      </c>
      <c r="B459" s="98"/>
      <c r="C459" s="98"/>
      <c r="D459" s="98"/>
      <c r="E459" s="98"/>
      <c r="F459" s="98"/>
      <c r="G459" s="99"/>
      <c r="H459" s="99"/>
    </row>
    <row r="460" spans="1:8" ht="15.75" thickBot="1" x14ac:dyDescent="0.3">
      <c r="A460" s="100" t="s">
        <v>2</v>
      </c>
      <c r="B460" s="103" t="s">
        <v>30</v>
      </c>
      <c r="C460" s="104"/>
      <c r="D460" s="104"/>
      <c r="E460" s="104"/>
      <c r="F460" s="104"/>
      <c r="G460" s="105" t="s">
        <v>3</v>
      </c>
      <c r="H460" s="106"/>
    </row>
    <row r="461" spans="1:8" ht="105.75" thickBot="1" x14ac:dyDescent="0.3">
      <c r="A461" s="101"/>
      <c r="B461" s="96" t="s">
        <v>30</v>
      </c>
      <c r="C461" s="107"/>
      <c r="D461" s="60" t="s">
        <v>32</v>
      </c>
      <c r="E461" s="107" t="s">
        <v>4</v>
      </c>
      <c r="F461" s="97"/>
      <c r="G461" s="108"/>
      <c r="H461" s="109"/>
    </row>
    <row r="462" spans="1:8" ht="150.75" thickBot="1" x14ac:dyDescent="0.3">
      <c r="A462" s="102"/>
      <c r="B462" s="64" t="s">
        <v>36</v>
      </c>
      <c r="C462" s="64" t="s">
        <v>5</v>
      </c>
      <c r="D462" s="64" t="s">
        <v>33</v>
      </c>
      <c r="E462" s="64" t="s">
        <v>34</v>
      </c>
      <c r="F462" s="64" t="s">
        <v>35</v>
      </c>
      <c r="G462" s="110"/>
      <c r="H462" s="111"/>
    </row>
    <row r="463" spans="1:8" ht="15.75" thickBot="1" x14ac:dyDescent="0.3">
      <c r="A463" s="59">
        <v>1</v>
      </c>
      <c r="B463" s="64">
        <v>2</v>
      </c>
      <c r="C463" s="11">
        <v>3</v>
      </c>
      <c r="D463" s="64">
        <v>4</v>
      </c>
      <c r="E463" s="11">
        <v>5</v>
      </c>
      <c r="F463" s="64">
        <v>6</v>
      </c>
      <c r="G463" s="96" t="s">
        <v>37</v>
      </c>
      <c r="H463" s="97"/>
    </row>
    <row r="464" spans="1:8" ht="60.75" thickBot="1" x14ac:dyDescent="0.3">
      <c r="A464" s="2" t="s">
        <v>7</v>
      </c>
      <c r="B464" s="6">
        <f>B465</f>
        <v>70345.600000000006</v>
      </c>
      <c r="C464" s="12"/>
      <c r="D464" s="6">
        <f>D465</f>
        <v>22214.399999999994</v>
      </c>
      <c r="E464" s="8" t="s">
        <v>8</v>
      </c>
      <c r="F464" s="8" t="s">
        <v>8</v>
      </c>
      <c r="G464" s="90">
        <f>97111-1349-3202</f>
        <v>92560</v>
      </c>
      <c r="H464" s="91"/>
    </row>
    <row r="465" spans="1:9" ht="15.75" thickBot="1" x14ac:dyDescent="0.3">
      <c r="A465" s="3" t="s">
        <v>9</v>
      </c>
      <c r="B465" s="6">
        <f>G465*76%</f>
        <v>70345.600000000006</v>
      </c>
      <c r="C465" s="12"/>
      <c r="D465" s="61">
        <f>G465-B465</f>
        <v>22214.399999999994</v>
      </c>
      <c r="E465" s="8" t="s">
        <v>8</v>
      </c>
      <c r="F465" s="8" t="s">
        <v>8</v>
      </c>
      <c r="G465" s="90">
        <f>G464-G466</f>
        <v>92560</v>
      </c>
      <c r="H465" s="91"/>
    </row>
    <row r="466" spans="1:9" ht="15.75" thickBot="1" x14ac:dyDescent="0.3">
      <c r="A466" s="2" t="s">
        <v>10</v>
      </c>
      <c r="B466" s="6">
        <v>0</v>
      </c>
      <c r="C466" s="12"/>
      <c r="D466" s="6">
        <v>0</v>
      </c>
      <c r="E466" s="8" t="s">
        <v>8</v>
      </c>
      <c r="F466" s="8" t="s">
        <v>8</v>
      </c>
      <c r="G466" s="90"/>
      <c r="H466" s="91"/>
    </row>
    <row r="467" spans="1:9" ht="60.75" thickBot="1" x14ac:dyDescent="0.3">
      <c r="A467" s="2" t="s">
        <v>11</v>
      </c>
      <c r="B467" s="6">
        <f>G467*76%</f>
        <v>18730.96</v>
      </c>
      <c r="C467" s="12"/>
      <c r="D467" s="61">
        <f>G467-B467</f>
        <v>5915.0400000000009</v>
      </c>
      <c r="E467" s="8" t="s">
        <v>8</v>
      </c>
      <c r="F467" s="8" t="s">
        <v>8</v>
      </c>
      <c r="G467" s="90">
        <f>24929-283</f>
        <v>24646</v>
      </c>
      <c r="H467" s="91"/>
    </row>
    <row r="468" spans="1:9" ht="30.75" thickBot="1" x14ac:dyDescent="0.3">
      <c r="A468" s="2" t="s">
        <v>12</v>
      </c>
      <c r="B468" s="6">
        <f>G468*76%</f>
        <v>3673.84</v>
      </c>
      <c r="C468" s="12"/>
      <c r="D468" s="61">
        <f>G468-B468</f>
        <v>1160.1599999999999</v>
      </c>
      <c r="E468" s="8" t="s">
        <v>8</v>
      </c>
      <c r="F468" s="8" t="s">
        <v>8</v>
      </c>
      <c r="G468" s="90">
        <f>283+1349+3202</f>
        <v>4834</v>
      </c>
      <c r="H468" s="91"/>
      <c r="I468" s="10">
        <f>G468+G467+G464</f>
        <v>122040</v>
      </c>
    </row>
    <row r="469" spans="1:9" ht="15.75" thickBot="1" x14ac:dyDescent="0.3">
      <c r="A469" s="2" t="s">
        <v>13</v>
      </c>
      <c r="B469" s="6">
        <f>G469*56%</f>
        <v>0</v>
      </c>
      <c r="C469" s="6"/>
      <c r="D469" s="61">
        <f>G469-B469</f>
        <v>0</v>
      </c>
      <c r="E469" s="8" t="s">
        <v>8</v>
      </c>
      <c r="F469" s="8" t="s">
        <v>8</v>
      </c>
      <c r="G469" s="90">
        <v>0</v>
      </c>
      <c r="H469" s="91"/>
      <c r="I469">
        <f>92305</f>
        <v>92305</v>
      </c>
    </row>
    <row r="470" spans="1:9" ht="30.75" thickBot="1" x14ac:dyDescent="0.3">
      <c r="A470" s="2" t="s">
        <v>14</v>
      </c>
      <c r="B470" s="6">
        <f>G470*56%</f>
        <v>1495.2</v>
      </c>
      <c r="C470" s="6"/>
      <c r="D470" s="61">
        <f>G470-B470</f>
        <v>1174.8</v>
      </c>
      <c r="E470" s="8" t="s">
        <v>8</v>
      </c>
      <c r="F470" s="8" t="s">
        <v>8</v>
      </c>
      <c r="G470" s="90">
        <v>2670</v>
      </c>
      <c r="H470" s="91"/>
      <c r="I470" s="10">
        <f>I469-I468</f>
        <v>-29735</v>
      </c>
    </row>
    <row r="471" spans="1:9" ht="45.75" thickBot="1" x14ac:dyDescent="0.3">
      <c r="A471" s="2" t="s">
        <v>15</v>
      </c>
      <c r="B471" s="8" t="s">
        <v>8</v>
      </c>
      <c r="C471" s="8" t="s">
        <v>8</v>
      </c>
      <c r="D471" s="6"/>
      <c r="E471" s="8" t="s">
        <v>8</v>
      </c>
      <c r="F471" s="8" t="s">
        <v>8</v>
      </c>
      <c r="G471" s="90"/>
      <c r="H471" s="91"/>
    </row>
    <row r="472" spans="1:9" ht="15.75" thickBot="1" x14ac:dyDescent="0.3">
      <c r="A472" s="2" t="s">
        <v>16</v>
      </c>
      <c r="B472" s="8" t="s">
        <v>8</v>
      </c>
      <c r="C472" s="8" t="s">
        <v>8</v>
      </c>
      <c r="D472" s="12"/>
      <c r="E472" s="6">
        <v>0</v>
      </c>
      <c r="F472" s="6"/>
      <c r="G472" s="90">
        <v>9000</v>
      </c>
      <c r="H472" s="91"/>
    </row>
    <row r="473" spans="1:9" ht="15.75" thickBot="1" x14ac:dyDescent="0.3">
      <c r="A473" s="3" t="s">
        <v>17</v>
      </c>
      <c r="B473" s="6">
        <f>G473*56%</f>
        <v>0</v>
      </c>
      <c r="C473" s="8"/>
      <c r="D473" s="6"/>
      <c r="E473" s="6">
        <f>G473-B473</f>
        <v>0</v>
      </c>
      <c r="F473" s="6"/>
      <c r="G473" s="90">
        <v>0</v>
      </c>
      <c r="H473" s="91"/>
    </row>
    <row r="474" spans="1:9" ht="15.75" thickBot="1" x14ac:dyDescent="0.3">
      <c r="A474" s="3" t="s">
        <v>18</v>
      </c>
      <c r="B474" s="6"/>
      <c r="C474" s="8"/>
      <c r="D474" s="8"/>
      <c r="E474" s="6"/>
      <c r="F474" s="6"/>
      <c r="G474" s="90"/>
      <c r="H474" s="91"/>
    </row>
    <row r="475" spans="1:9" ht="45.75" thickBot="1" x14ac:dyDescent="0.3">
      <c r="A475" s="2" t="s">
        <v>19</v>
      </c>
      <c r="B475" s="6"/>
      <c r="C475" s="8"/>
      <c r="D475" s="6"/>
      <c r="E475" s="6"/>
      <c r="F475" s="6"/>
      <c r="G475" s="94"/>
      <c r="H475" s="95"/>
    </row>
    <row r="476" spans="1:9" ht="45.75" thickBot="1" x14ac:dyDescent="0.3">
      <c r="A476" s="2" t="s">
        <v>20</v>
      </c>
      <c r="B476" s="6">
        <f>G476*56%</f>
        <v>36.96</v>
      </c>
      <c r="C476" s="8"/>
      <c r="D476" s="6"/>
      <c r="E476" s="6">
        <f>G476-B476</f>
        <v>29.04</v>
      </c>
      <c r="F476" s="6"/>
      <c r="G476" s="90">
        <v>66</v>
      </c>
      <c r="H476" s="91"/>
    </row>
    <row r="477" spans="1:9" ht="30.75" thickBot="1" x14ac:dyDescent="0.3">
      <c r="A477" s="2" t="s">
        <v>21</v>
      </c>
      <c r="B477" s="6">
        <f>G477*56%</f>
        <v>2320.6400000000003</v>
      </c>
      <c r="C477" s="6"/>
      <c r="D477" s="61">
        <f>G477-B477</f>
        <v>1823.3599999999997</v>
      </c>
      <c r="E477" s="8" t="s">
        <v>8</v>
      </c>
      <c r="F477" s="8" t="s">
        <v>8</v>
      </c>
      <c r="G477" s="90">
        <f>3692+294+158</f>
        <v>4144</v>
      </c>
      <c r="H477" s="91"/>
    </row>
    <row r="478" spans="1:9" ht="15.75" thickBot="1" x14ac:dyDescent="0.3">
      <c r="A478" s="3" t="s">
        <v>22</v>
      </c>
      <c r="B478" s="6">
        <f>G478*56%</f>
        <v>207.76000000000002</v>
      </c>
      <c r="C478" s="6"/>
      <c r="D478" s="61">
        <f>G478-B478</f>
        <v>163.23999999999998</v>
      </c>
      <c r="E478" s="8" t="s">
        <v>8</v>
      </c>
      <c r="F478" s="8" t="s">
        <v>8</v>
      </c>
      <c r="G478" s="90">
        <f>353+18</f>
        <v>371</v>
      </c>
      <c r="H478" s="91"/>
    </row>
    <row r="479" spans="1:9" ht="15.75" thickBot="1" x14ac:dyDescent="0.3">
      <c r="A479" s="3" t="s">
        <v>23</v>
      </c>
      <c r="B479" s="8" t="s">
        <v>8</v>
      </c>
      <c r="C479" s="12"/>
      <c r="D479" s="8" t="s">
        <v>8</v>
      </c>
      <c r="E479" s="8" t="s">
        <v>8</v>
      </c>
      <c r="F479" s="8" t="s">
        <v>8</v>
      </c>
      <c r="G479" s="94"/>
      <c r="H479" s="95"/>
    </row>
    <row r="480" spans="1:9" ht="15.75" thickBot="1" x14ac:dyDescent="0.3">
      <c r="A480" s="3" t="s">
        <v>24</v>
      </c>
      <c r="B480" s="6">
        <f>G480*56%</f>
        <v>0</v>
      </c>
      <c r="C480" s="6"/>
      <c r="D480" s="6"/>
      <c r="E480" s="8" t="s">
        <v>8</v>
      </c>
      <c r="F480" s="8" t="s">
        <v>8</v>
      </c>
      <c r="G480" s="90"/>
      <c r="H480" s="91"/>
    </row>
    <row r="481" spans="1:8" ht="15.75" thickBot="1" x14ac:dyDescent="0.3">
      <c r="A481" s="4" t="s">
        <v>25</v>
      </c>
      <c r="B481" s="6">
        <f>SUM(B465:B480)</f>
        <v>96810.959999999992</v>
      </c>
      <c r="C481" s="6"/>
      <c r="D481" s="6">
        <f>SUM(D465:D480)</f>
        <v>32450.999999999996</v>
      </c>
      <c r="E481" s="6">
        <f>SUM(E465:E480)</f>
        <v>29.04</v>
      </c>
      <c r="F481" s="6"/>
      <c r="G481" s="90">
        <f>SUM(G465:H480)</f>
        <v>138291</v>
      </c>
      <c r="H481" s="91"/>
    </row>
    <row r="482" spans="1:8" x14ac:dyDescent="0.25">
      <c r="A482" s="92" t="s">
        <v>26</v>
      </c>
      <c r="B482" s="92"/>
      <c r="C482" s="92"/>
      <c r="D482" s="92"/>
      <c r="E482" s="92"/>
      <c r="F482" s="92"/>
      <c r="G482" s="92"/>
      <c r="H482" s="92"/>
    </row>
    <row r="483" spans="1:8" x14ac:dyDescent="0.25">
      <c r="A483" s="93" t="s">
        <v>27</v>
      </c>
      <c r="B483" s="93"/>
      <c r="C483" s="93"/>
      <c r="D483" s="93"/>
      <c r="E483" s="93"/>
      <c r="F483" s="93"/>
      <c r="G483" s="93"/>
      <c r="H483" s="93"/>
    </row>
    <row r="484" spans="1:8" x14ac:dyDescent="0.25">
      <c r="A484" s="93" t="s">
        <v>28</v>
      </c>
      <c r="B484" s="93"/>
      <c r="C484" s="93"/>
      <c r="D484" s="93"/>
      <c r="E484" s="93"/>
      <c r="F484" s="93"/>
      <c r="G484" s="93"/>
      <c r="H484" s="93"/>
    </row>
    <row r="485" spans="1:8" x14ac:dyDescent="0.25">
      <c r="A485" s="1"/>
      <c r="B485" s="9"/>
      <c r="C485" s="9"/>
      <c r="D485" s="9"/>
      <c r="E485" s="9"/>
      <c r="F485" s="9"/>
      <c r="G485" s="9"/>
      <c r="H485" s="9"/>
    </row>
    <row r="486" spans="1:8" ht="15.75" x14ac:dyDescent="0.25">
      <c r="A486" s="5"/>
    </row>
    <row r="487" spans="1:8" x14ac:dyDescent="0.25">
      <c r="B487" s="13" t="s">
        <v>41</v>
      </c>
      <c r="C487" s="13">
        <v>124171</v>
      </c>
    </row>
    <row r="488" spans="1:8" x14ac:dyDescent="0.25">
      <c r="C488" s="10">
        <f>C487-B481</f>
        <v>27360.040000000008</v>
      </c>
    </row>
    <row r="490" spans="1:8" x14ac:dyDescent="0.25">
      <c r="A490" s="62"/>
      <c r="B490" s="63"/>
      <c r="C490" s="63"/>
      <c r="D490" s="63"/>
      <c r="E490" s="112" t="s">
        <v>29</v>
      </c>
      <c r="F490" s="112"/>
      <c r="G490" s="112"/>
      <c r="H490" s="112"/>
    </row>
    <row r="491" spans="1:8" x14ac:dyDescent="0.25">
      <c r="A491" s="113"/>
      <c r="B491" s="114"/>
      <c r="C491" s="114"/>
      <c r="D491" s="115"/>
      <c r="E491" s="115" t="s">
        <v>0</v>
      </c>
      <c r="F491" s="115"/>
      <c r="G491" s="115"/>
      <c r="H491" s="115"/>
    </row>
    <row r="492" spans="1:8" x14ac:dyDescent="0.25">
      <c r="A492" s="113"/>
      <c r="B492" s="114"/>
      <c r="C492" s="114"/>
      <c r="D492" s="115"/>
      <c r="E492" s="115" t="s">
        <v>1</v>
      </c>
      <c r="F492" s="115"/>
      <c r="G492" s="115"/>
      <c r="H492" s="115"/>
    </row>
    <row r="493" spans="1:8" ht="15.75" thickBot="1" x14ac:dyDescent="0.3">
      <c r="A493" s="98" t="s">
        <v>76</v>
      </c>
      <c r="B493" s="98"/>
      <c r="C493" s="98"/>
      <c r="D493" s="98"/>
      <c r="E493" s="98"/>
      <c r="F493" s="98"/>
      <c r="G493" s="99"/>
      <c r="H493" s="99"/>
    </row>
    <row r="494" spans="1:8" ht="15.75" thickBot="1" x14ac:dyDescent="0.3">
      <c r="A494" s="100" t="s">
        <v>2</v>
      </c>
      <c r="B494" s="103" t="s">
        <v>30</v>
      </c>
      <c r="C494" s="104"/>
      <c r="D494" s="104"/>
      <c r="E494" s="104"/>
      <c r="F494" s="104"/>
      <c r="G494" s="105" t="s">
        <v>3</v>
      </c>
      <c r="H494" s="106"/>
    </row>
    <row r="495" spans="1:8" ht="105.75" thickBot="1" x14ac:dyDescent="0.3">
      <c r="A495" s="101"/>
      <c r="B495" s="96" t="s">
        <v>30</v>
      </c>
      <c r="C495" s="107"/>
      <c r="D495" s="60" t="s">
        <v>32</v>
      </c>
      <c r="E495" s="107" t="s">
        <v>4</v>
      </c>
      <c r="F495" s="97"/>
      <c r="G495" s="108"/>
      <c r="H495" s="109"/>
    </row>
    <row r="496" spans="1:8" ht="150.75" thickBot="1" x14ac:dyDescent="0.3">
      <c r="A496" s="102"/>
      <c r="B496" s="64" t="s">
        <v>36</v>
      </c>
      <c r="C496" s="64" t="s">
        <v>5</v>
      </c>
      <c r="D496" s="64" t="s">
        <v>33</v>
      </c>
      <c r="E496" s="64" t="s">
        <v>34</v>
      </c>
      <c r="F496" s="64" t="s">
        <v>35</v>
      </c>
      <c r="G496" s="110"/>
      <c r="H496" s="111"/>
    </row>
    <row r="497" spans="1:8" ht="15.75" thickBot="1" x14ac:dyDescent="0.3">
      <c r="A497" s="59">
        <v>1</v>
      </c>
      <c r="B497" s="64">
        <v>2</v>
      </c>
      <c r="C497" s="11">
        <v>3</v>
      </c>
      <c r="D497" s="64">
        <v>4</v>
      </c>
      <c r="E497" s="11">
        <v>5</v>
      </c>
      <c r="F497" s="64">
        <v>6</v>
      </c>
      <c r="G497" s="96" t="s">
        <v>37</v>
      </c>
      <c r="H497" s="97"/>
    </row>
    <row r="498" spans="1:8" ht="60.75" thickBot="1" x14ac:dyDescent="0.3">
      <c r="A498" s="2" t="s">
        <v>7</v>
      </c>
      <c r="B498" s="6">
        <f>B499</f>
        <v>77744.960000000006</v>
      </c>
      <c r="C498" s="12"/>
      <c r="D498" s="6">
        <f>D499</f>
        <v>24551.039999999994</v>
      </c>
      <c r="E498" s="8" t="s">
        <v>8</v>
      </c>
      <c r="F498" s="8" t="s">
        <v>8</v>
      </c>
      <c r="G498" s="90">
        <f>106982-1377-3309</f>
        <v>102296</v>
      </c>
      <c r="H498" s="91"/>
    </row>
    <row r="499" spans="1:8" ht="15.75" thickBot="1" x14ac:dyDescent="0.3">
      <c r="A499" s="3" t="s">
        <v>9</v>
      </c>
      <c r="B499" s="6">
        <f>G499*76%</f>
        <v>77744.960000000006</v>
      </c>
      <c r="C499" s="12"/>
      <c r="D499" s="61">
        <f>G499-B499</f>
        <v>24551.039999999994</v>
      </c>
      <c r="E499" s="8" t="s">
        <v>8</v>
      </c>
      <c r="F499" s="8" t="s">
        <v>8</v>
      </c>
      <c r="G499" s="90">
        <f>G498-G500</f>
        <v>102296</v>
      </c>
      <c r="H499" s="91"/>
    </row>
    <row r="500" spans="1:8" ht="15.75" thickBot="1" x14ac:dyDescent="0.3">
      <c r="A500" s="2" t="s">
        <v>10</v>
      </c>
      <c r="B500" s="6">
        <v>0</v>
      </c>
      <c r="C500" s="12"/>
      <c r="D500" s="6">
        <v>0</v>
      </c>
      <c r="E500" s="8" t="s">
        <v>8</v>
      </c>
      <c r="F500" s="8" t="s">
        <v>8</v>
      </c>
      <c r="G500" s="90"/>
      <c r="H500" s="91"/>
    </row>
    <row r="501" spans="1:8" ht="60.75" thickBot="1" x14ac:dyDescent="0.3">
      <c r="A501" s="2" t="s">
        <v>11</v>
      </c>
      <c r="B501" s="6">
        <f>G501*76%</f>
        <v>21323.32</v>
      </c>
      <c r="C501" s="12"/>
      <c r="D501" s="61">
        <f>G501-B501</f>
        <v>6733.68</v>
      </c>
      <c r="E501" s="8" t="s">
        <v>8</v>
      </c>
      <c r="F501" s="8" t="s">
        <v>8</v>
      </c>
      <c r="G501" s="90">
        <f>28881-526-298</f>
        <v>28057</v>
      </c>
      <c r="H501" s="91"/>
    </row>
    <row r="502" spans="1:8" ht="30.75" thickBot="1" x14ac:dyDescent="0.3">
      <c r="A502" s="2" t="s">
        <v>12</v>
      </c>
      <c r="B502" s="6">
        <f>G502*76%</f>
        <v>4187.6000000000004</v>
      </c>
      <c r="C502" s="12"/>
      <c r="D502" s="61">
        <f>G502-B502</f>
        <v>1322.3999999999996</v>
      </c>
      <c r="E502" s="8" t="s">
        <v>8</v>
      </c>
      <c r="F502" s="8" t="s">
        <v>8</v>
      </c>
      <c r="G502" s="90">
        <f>3309+1377+526+298</f>
        <v>5510</v>
      </c>
      <c r="H502" s="91"/>
    </row>
    <row r="503" spans="1:8" ht="15.75" thickBot="1" x14ac:dyDescent="0.3">
      <c r="A503" s="2" t="s">
        <v>13</v>
      </c>
      <c r="B503" s="6">
        <f>G503*56%</f>
        <v>0</v>
      </c>
      <c r="C503" s="6"/>
      <c r="D503" s="61">
        <f>G503-B503</f>
        <v>0</v>
      </c>
      <c r="E503" s="8" t="s">
        <v>8</v>
      </c>
      <c r="F503" s="8" t="s">
        <v>8</v>
      </c>
      <c r="G503" s="90">
        <v>0</v>
      </c>
      <c r="H503" s="91"/>
    </row>
    <row r="504" spans="1:8" ht="30.75" thickBot="1" x14ac:dyDescent="0.3">
      <c r="A504" s="2" t="s">
        <v>14</v>
      </c>
      <c r="B504" s="6">
        <f>G504*56%</f>
        <v>1495.2</v>
      </c>
      <c r="C504" s="6"/>
      <c r="D504" s="61">
        <f>G504-B504</f>
        <v>1174.8</v>
      </c>
      <c r="E504" s="8" t="s">
        <v>8</v>
      </c>
      <c r="F504" s="8" t="s">
        <v>8</v>
      </c>
      <c r="G504" s="90">
        <v>2670</v>
      </c>
      <c r="H504" s="91"/>
    </row>
    <row r="505" spans="1:8" ht="45.75" thickBot="1" x14ac:dyDescent="0.3">
      <c r="A505" s="2" t="s">
        <v>15</v>
      </c>
      <c r="B505" s="8" t="s">
        <v>8</v>
      </c>
      <c r="C505" s="8" t="s">
        <v>8</v>
      </c>
      <c r="D505" s="6"/>
      <c r="E505" s="8" t="s">
        <v>8</v>
      </c>
      <c r="F505" s="8" t="s">
        <v>8</v>
      </c>
      <c r="G505" s="90"/>
      <c r="H505" s="91"/>
    </row>
    <row r="506" spans="1:8" ht="15.75" thickBot="1" x14ac:dyDescent="0.3">
      <c r="A506" s="2" t="s">
        <v>16</v>
      </c>
      <c r="B506" s="8" t="s">
        <v>8</v>
      </c>
      <c r="C506" s="8" t="s">
        <v>8</v>
      </c>
      <c r="D506" s="12"/>
      <c r="E506" s="6">
        <v>0</v>
      </c>
      <c r="F506" s="6"/>
      <c r="G506" s="90">
        <v>10500</v>
      </c>
      <c r="H506" s="91"/>
    </row>
    <row r="507" spans="1:8" ht="15.75" thickBot="1" x14ac:dyDescent="0.3">
      <c r="A507" s="3" t="s">
        <v>17</v>
      </c>
      <c r="B507" s="6">
        <f>G507*56%</f>
        <v>0</v>
      </c>
      <c r="C507" s="8"/>
      <c r="D507" s="6"/>
      <c r="E507" s="6">
        <f>G507-B507</f>
        <v>0</v>
      </c>
      <c r="F507" s="6"/>
      <c r="G507" s="90">
        <v>0</v>
      </c>
      <c r="H507" s="91"/>
    </row>
    <row r="508" spans="1:8" ht="15.75" thickBot="1" x14ac:dyDescent="0.3">
      <c r="A508" s="3" t="s">
        <v>18</v>
      </c>
      <c r="B508" s="6"/>
      <c r="C508" s="8"/>
      <c r="D508" s="8"/>
      <c r="E508" s="6"/>
      <c r="F508" s="6"/>
      <c r="G508" s="90"/>
      <c r="H508" s="91"/>
    </row>
    <row r="509" spans="1:8" ht="45.75" thickBot="1" x14ac:dyDescent="0.3">
      <c r="A509" s="2" t="s">
        <v>19</v>
      </c>
      <c r="B509" s="6"/>
      <c r="C509" s="8"/>
      <c r="D509" s="6"/>
      <c r="E509" s="6"/>
      <c r="F509" s="6"/>
      <c r="G509" s="94"/>
      <c r="H509" s="95"/>
    </row>
    <row r="510" spans="1:8" ht="45.75" thickBot="1" x14ac:dyDescent="0.3">
      <c r="A510" s="2" t="s">
        <v>20</v>
      </c>
      <c r="B510" s="6">
        <f>G510*56%</f>
        <v>43.120000000000005</v>
      </c>
      <c r="C510" s="8"/>
      <c r="D510" s="6"/>
      <c r="E510" s="6">
        <f>G510-B510</f>
        <v>33.879999999999995</v>
      </c>
      <c r="F510" s="6"/>
      <c r="G510" s="90">
        <v>77</v>
      </c>
      <c r="H510" s="91"/>
    </row>
    <row r="511" spans="1:8" ht="30.75" thickBot="1" x14ac:dyDescent="0.3">
      <c r="A511" s="2" t="s">
        <v>21</v>
      </c>
      <c r="B511" s="6">
        <f>G511*56%</f>
        <v>2531.7600000000002</v>
      </c>
      <c r="C511" s="6"/>
      <c r="D511" s="61">
        <f>G511-B511</f>
        <v>1989.2399999999998</v>
      </c>
      <c r="E511" s="8" t="s">
        <v>8</v>
      </c>
      <c r="F511" s="8" t="s">
        <v>8</v>
      </c>
      <c r="G511" s="90">
        <f>294+4069+158</f>
        <v>4521</v>
      </c>
      <c r="H511" s="91"/>
    </row>
    <row r="512" spans="1:8" ht="15.75" thickBot="1" x14ac:dyDescent="0.3">
      <c r="A512" s="3" t="s">
        <v>22</v>
      </c>
      <c r="B512" s="6">
        <f>G512*56%</f>
        <v>219.52</v>
      </c>
      <c r="C512" s="6"/>
      <c r="D512" s="61">
        <f>G512-B512</f>
        <v>172.48</v>
      </c>
      <c r="E512" s="8" t="s">
        <v>8</v>
      </c>
      <c r="F512" s="8" t="s">
        <v>8</v>
      </c>
      <c r="G512" s="90">
        <f>18+374</f>
        <v>392</v>
      </c>
      <c r="H512" s="91"/>
    </row>
    <row r="513" spans="1:8" ht="15.75" thickBot="1" x14ac:dyDescent="0.3">
      <c r="A513" s="3" t="s">
        <v>23</v>
      </c>
      <c r="B513" s="8" t="s">
        <v>8</v>
      </c>
      <c r="C513" s="12"/>
      <c r="D513" s="8" t="s">
        <v>8</v>
      </c>
      <c r="E513" s="8" t="s">
        <v>8</v>
      </c>
      <c r="F513" s="8" t="s">
        <v>8</v>
      </c>
      <c r="G513" s="94"/>
      <c r="H513" s="95"/>
    </row>
    <row r="514" spans="1:8" ht="15.75" thickBot="1" x14ac:dyDescent="0.3">
      <c r="A514" s="3" t="s">
        <v>24</v>
      </c>
      <c r="B514" s="6">
        <f>G514*56%</f>
        <v>0</v>
      </c>
      <c r="C514" s="6"/>
      <c r="D514" s="6"/>
      <c r="E514" s="8" t="s">
        <v>8</v>
      </c>
      <c r="F514" s="8" t="s">
        <v>8</v>
      </c>
      <c r="G514" s="90"/>
      <c r="H514" s="91"/>
    </row>
    <row r="515" spans="1:8" ht="15.75" thickBot="1" x14ac:dyDescent="0.3">
      <c r="A515" s="4" t="s">
        <v>25</v>
      </c>
      <c r="B515" s="6">
        <f>SUM(B499:B514)</f>
        <v>107545.48</v>
      </c>
      <c r="C515" s="6"/>
      <c r="D515" s="6">
        <f>SUM(D499:D514)</f>
        <v>35943.64</v>
      </c>
      <c r="E515" s="6">
        <f>SUM(E499:E514)</f>
        <v>33.879999999999995</v>
      </c>
      <c r="F515" s="6"/>
      <c r="G515" s="90">
        <f>SUM(G499:H514)</f>
        <v>154023</v>
      </c>
      <c r="H515" s="91"/>
    </row>
    <row r="516" spans="1:8" x14ac:dyDescent="0.25">
      <c r="A516" s="92" t="s">
        <v>26</v>
      </c>
      <c r="B516" s="92"/>
      <c r="C516" s="92"/>
      <c r="D516" s="92"/>
      <c r="E516" s="92"/>
      <c r="F516" s="92"/>
      <c r="G516" s="92"/>
      <c r="H516" s="92"/>
    </row>
    <row r="517" spans="1:8" x14ac:dyDescent="0.25">
      <c r="A517" s="93" t="s">
        <v>27</v>
      </c>
      <c r="B517" s="93"/>
      <c r="C517" s="93"/>
      <c r="D517" s="93"/>
      <c r="E517" s="93"/>
      <c r="F517" s="93"/>
      <c r="G517" s="93"/>
      <c r="H517" s="93"/>
    </row>
    <row r="518" spans="1:8" x14ac:dyDescent="0.25">
      <c r="A518" s="93" t="s">
        <v>28</v>
      </c>
      <c r="B518" s="93"/>
      <c r="C518" s="93"/>
      <c r="D518" s="93"/>
      <c r="E518" s="93"/>
      <c r="F518" s="93"/>
      <c r="G518" s="93"/>
      <c r="H518" s="93"/>
    </row>
    <row r="519" spans="1:8" x14ac:dyDescent="0.25">
      <c r="A519" s="1"/>
      <c r="B519" s="9"/>
      <c r="C519" s="9"/>
      <c r="D519" s="9"/>
      <c r="E519" s="9"/>
      <c r="F519" s="9"/>
      <c r="G519" s="9"/>
      <c r="H519" s="9"/>
    </row>
    <row r="520" spans="1:8" ht="15.75" x14ac:dyDescent="0.25">
      <c r="A520" s="5"/>
    </row>
    <row r="521" spans="1:8" x14ac:dyDescent="0.25">
      <c r="B521" s="13" t="s">
        <v>77</v>
      </c>
      <c r="C521" s="13">
        <v>139226</v>
      </c>
    </row>
    <row r="522" spans="1:8" x14ac:dyDescent="0.25">
      <c r="C522" s="10">
        <f>C521-B515</f>
        <v>31680.520000000004</v>
      </c>
    </row>
    <row r="525" spans="1:8" x14ac:dyDescent="0.25">
      <c r="A525" s="62"/>
      <c r="B525" s="63"/>
      <c r="C525" s="63"/>
      <c r="D525" s="63"/>
      <c r="E525" s="112" t="s">
        <v>29</v>
      </c>
      <c r="F525" s="112"/>
      <c r="G525" s="112"/>
      <c r="H525" s="112"/>
    </row>
    <row r="526" spans="1:8" x14ac:dyDescent="0.25">
      <c r="A526" s="113"/>
      <c r="B526" s="114"/>
      <c r="C526" s="114"/>
      <c r="D526" s="115"/>
      <c r="E526" s="115" t="s">
        <v>0</v>
      </c>
      <c r="F526" s="115"/>
      <c r="G526" s="115"/>
      <c r="H526" s="115"/>
    </row>
    <row r="527" spans="1:8" x14ac:dyDescent="0.25">
      <c r="A527" s="113"/>
      <c r="B527" s="114"/>
      <c r="C527" s="114"/>
      <c r="D527" s="115"/>
      <c r="E527" s="115" t="s">
        <v>1</v>
      </c>
      <c r="F527" s="115"/>
      <c r="G527" s="115"/>
      <c r="H527" s="115"/>
    </row>
    <row r="528" spans="1:8" ht="15.75" thickBot="1" x14ac:dyDescent="0.3">
      <c r="A528" s="98" t="s">
        <v>78</v>
      </c>
      <c r="B528" s="98"/>
      <c r="C528" s="98"/>
      <c r="D528" s="98"/>
      <c r="E528" s="98"/>
      <c r="F528" s="98"/>
      <c r="G528" s="99"/>
      <c r="H528" s="99"/>
    </row>
    <row r="529" spans="1:8" ht="15.75" thickBot="1" x14ac:dyDescent="0.3">
      <c r="A529" s="100" t="s">
        <v>2</v>
      </c>
      <c r="B529" s="103" t="s">
        <v>30</v>
      </c>
      <c r="C529" s="104"/>
      <c r="D529" s="104"/>
      <c r="E529" s="104"/>
      <c r="F529" s="104"/>
      <c r="G529" s="105" t="s">
        <v>3</v>
      </c>
      <c r="H529" s="106"/>
    </row>
    <row r="530" spans="1:8" ht="105.75" thickBot="1" x14ac:dyDescent="0.3">
      <c r="A530" s="101"/>
      <c r="B530" s="96" t="s">
        <v>30</v>
      </c>
      <c r="C530" s="107"/>
      <c r="D530" s="60" t="s">
        <v>32</v>
      </c>
      <c r="E530" s="107" t="s">
        <v>4</v>
      </c>
      <c r="F530" s="97"/>
      <c r="G530" s="108"/>
      <c r="H530" s="109"/>
    </row>
    <row r="531" spans="1:8" ht="150.75" thickBot="1" x14ac:dyDescent="0.3">
      <c r="A531" s="102"/>
      <c r="B531" s="64" t="s">
        <v>36</v>
      </c>
      <c r="C531" s="64" t="s">
        <v>5</v>
      </c>
      <c r="D531" s="64" t="s">
        <v>33</v>
      </c>
      <c r="E531" s="64" t="s">
        <v>34</v>
      </c>
      <c r="F531" s="64" t="s">
        <v>35</v>
      </c>
      <c r="G531" s="110"/>
      <c r="H531" s="111"/>
    </row>
    <row r="532" spans="1:8" ht="15.75" thickBot="1" x14ac:dyDescent="0.3">
      <c r="A532" s="59">
        <v>1</v>
      </c>
      <c r="B532" s="64">
        <v>2</v>
      </c>
      <c r="C532" s="11">
        <v>3</v>
      </c>
      <c r="D532" s="64">
        <v>4</v>
      </c>
      <c r="E532" s="11">
        <v>5</v>
      </c>
      <c r="F532" s="64">
        <v>6</v>
      </c>
      <c r="G532" s="96" t="s">
        <v>37</v>
      </c>
      <c r="H532" s="97"/>
    </row>
    <row r="533" spans="1:8" ht="60.75" thickBot="1" x14ac:dyDescent="0.3">
      <c r="A533" s="2" t="s">
        <v>7</v>
      </c>
      <c r="B533" s="6">
        <f>B534</f>
        <v>85303.92</v>
      </c>
      <c r="C533" s="12"/>
      <c r="D533" s="6">
        <f>D534</f>
        <v>26938.080000000002</v>
      </c>
      <c r="E533" s="8" t="s">
        <v>8</v>
      </c>
      <c r="F533" s="8" t="s">
        <v>8</v>
      </c>
      <c r="G533" s="90">
        <f>116946-1395-3309</f>
        <v>112242</v>
      </c>
      <c r="H533" s="91"/>
    </row>
    <row r="534" spans="1:8" ht="15.75" thickBot="1" x14ac:dyDescent="0.3">
      <c r="A534" s="3" t="s">
        <v>9</v>
      </c>
      <c r="B534" s="6">
        <f>G534*76%</f>
        <v>85303.92</v>
      </c>
      <c r="C534" s="12"/>
      <c r="D534" s="61">
        <f>G534-B534</f>
        <v>26938.080000000002</v>
      </c>
      <c r="E534" s="8" t="s">
        <v>8</v>
      </c>
      <c r="F534" s="8" t="s">
        <v>8</v>
      </c>
      <c r="G534" s="90">
        <f>G533-G535</f>
        <v>112242</v>
      </c>
      <c r="H534" s="91"/>
    </row>
    <row r="535" spans="1:8" ht="15.75" thickBot="1" x14ac:dyDescent="0.3">
      <c r="A535" s="2" t="s">
        <v>10</v>
      </c>
      <c r="B535" s="6">
        <v>0</v>
      </c>
      <c r="C535" s="12"/>
      <c r="D535" s="6">
        <v>0</v>
      </c>
      <c r="E535" s="8" t="s">
        <v>8</v>
      </c>
      <c r="F535" s="8" t="s">
        <v>8</v>
      </c>
      <c r="G535" s="90"/>
      <c r="H535" s="91"/>
    </row>
    <row r="536" spans="1:8" ht="60.75" thickBot="1" x14ac:dyDescent="0.3">
      <c r="A536" s="2" t="s">
        <v>11</v>
      </c>
      <c r="B536" s="6">
        <f>G536*76%</f>
        <v>24660.48</v>
      </c>
      <c r="C536" s="12"/>
      <c r="D536" s="61">
        <f>G536-B536</f>
        <v>7787.52</v>
      </c>
      <c r="E536" s="8" t="s">
        <v>8</v>
      </c>
      <c r="F536" s="8" t="s">
        <v>8</v>
      </c>
      <c r="G536" s="90">
        <f>32758-310</f>
        <v>32448</v>
      </c>
      <c r="H536" s="91"/>
    </row>
    <row r="537" spans="1:8" ht="30.75" thickBot="1" x14ac:dyDescent="0.3">
      <c r="A537" s="2" t="s">
        <v>12</v>
      </c>
      <c r="B537" s="6">
        <f>G537*76%</f>
        <v>3810.64</v>
      </c>
      <c r="C537" s="12"/>
      <c r="D537" s="61">
        <f>G537-B537</f>
        <v>1203.3600000000001</v>
      </c>
      <c r="E537" s="8" t="s">
        <v>8</v>
      </c>
      <c r="F537" s="8" t="s">
        <v>8</v>
      </c>
      <c r="G537" s="90">
        <f>1395+3309+310</f>
        <v>5014</v>
      </c>
      <c r="H537" s="91"/>
    </row>
    <row r="538" spans="1:8" ht="15.75" thickBot="1" x14ac:dyDescent="0.3">
      <c r="A538" s="2" t="s">
        <v>13</v>
      </c>
      <c r="B538" s="6">
        <f>G538*56%</f>
        <v>0</v>
      </c>
      <c r="C538" s="6"/>
      <c r="D538" s="61">
        <f>G538-B538</f>
        <v>0</v>
      </c>
      <c r="E538" s="8" t="s">
        <v>8</v>
      </c>
      <c r="F538" s="8" t="s">
        <v>8</v>
      </c>
      <c r="G538" s="90">
        <v>0</v>
      </c>
      <c r="H538" s="91"/>
    </row>
    <row r="539" spans="1:8" ht="30.75" thickBot="1" x14ac:dyDescent="0.3">
      <c r="A539" s="2" t="s">
        <v>14</v>
      </c>
      <c r="B539" s="6">
        <f>G539*56%</f>
        <v>1942.64</v>
      </c>
      <c r="C539" s="6"/>
      <c r="D539" s="61">
        <f>G539-B539</f>
        <v>1526.36</v>
      </c>
      <c r="E539" s="8" t="s">
        <v>8</v>
      </c>
      <c r="F539" s="8" t="s">
        <v>8</v>
      </c>
      <c r="G539" s="90">
        <v>3469</v>
      </c>
      <c r="H539" s="91"/>
    </row>
    <row r="540" spans="1:8" ht="45.75" thickBot="1" x14ac:dyDescent="0.3">
      <c r="A540" s="2" t="s">
        <v>15</v>
      </c>
      <c r="B540" s="8" t="s">
        <v>8</v>
      </c>
      <c r="C540" s="8" t="s">
        <v>8</v>
      </c>
      <c r="D540" s="6"/>
      <c r="E540" s="8" t="s">
        <v>8</v>
      </c>
      <c r="F540" s="8" t="s">
        <v>8</v>
      </c>
      <c r="G540" s="90"/>
      <c r="H540" s="91"/>
    </row>
    <row r="541" spans="1:8" ht="15.75" thickBot="1" x14ac:dyDescent="0.3">
      <c r="A541" s="2" t="s">
        <v>16</v>
      </c>
      <c r="B541" s="8" t="s">
        <v>8</v>
      </c>
      <c r="C541" s="8" t="s">
        <v>8</v>
      </c>
      <c r="D541" s="12"/>
      <c r="E541" s="6">
        <v>0</v>
      </c>
      <c r="F541" s="6"/>
      <c r="G541" s="90">
        <v>12000</v>
      </c>
      <c r="H541" s="91"/>
    </row>
    <row r="542" spans="1:8" ht="15.75" thickBot="1" x14ac:dyDescent="0.3">
      <c r="A542" s="3" t="s">
        <v>17</v>
      </c>
      <c r="B542" s="6">
        <f>G542*56%</f>
        <v>0</v>
      </c>
      <c r="C542" s="8"/>
      <c r="D542" s="6"/>
      <c r="E542" s="6">
        <f>G542-B542</f>
        <v>0</v>
      </c>
      <c r="F542" s="6"/>
      <c r="G542" s="90">
        <v>0</v>
      </c>
      <c r="H542" s="91"/>
    </row>
    <row r="543" spans="1:8" ht="15.75" thickBot="1" x14ac:dyDescent="0.3">
      <c r="A543" s="3" t="s">
        <v>18</v>
      </c>
      <c r="B543" s="6"/>
      <c r="C543" s="8"/>
      <c r="D543" s="8"/>
      <c r="E543" s="6"/>
      <c r="F543" s="6"/>
      <c r="G543" s="90"/>
      <c r="H543" s="91"/>
    </row>
    <row r="544" spans="1:8" ht="45.75" thickBot="1" x14ac:dyDescent="0.3">
      <c r="A544" s="2" t="s">
        <v>19</v>
      </c>
      <c r="B544" s="6"/>
      <c r="C544" s="8"/>
      <c r="D544" s="6"/>
      <c r="E544" s="6"/>
      <c r="F544" s="6"/>
      <c r="G544" s="94"/>
      <c r="H544" s="95"/>
    </row>
    <row r="545" spans="1:8" ht="45.75" thickBot="1" x14ac:dyDescent="0.3">
      <c r="A545" s="2" t="s">
        <v>20</v>
      </c>
      <c r="B545" s="6">
        <f>G545*56%</f>
        <v>49.28</v>
      </c>
      <c r="C545" s="8"/>
      <c r="D545" s="6"/>
      <c r="E545" s="6">
        <f>G545-B545</f>
        <v>38.72</v>
      </c>
      <c r="F545" s="6"/>
      <c r="G545" s="90">
        <v>88</v>
      </c>
      <c r="H545" s="91"/>
    </row>
    <row r="546" spans="1:8" ht="30.75" thickBot="1" x14ac:dyDescent="0.3">
      <c r="A546" s="2" t="s">
        <v>21</v>
      </c>
      <c r="B546" s="6">
        <f>G546*56%</f>
        <v>3797.9200000000005</v>
      </c>
      <c r="C546" s="6"/>
      <c r="D546" s="61">
        <f>G546-B546</f>
        <v>2984.0799999999995</v>
      </c>
      <c r="E546" s="8" t="s">
        <v>8</v>
      </c>
      <c r="F546" s="8" t="s">
        <v>8</v>
      </c>
      <c r="G546" s="90">
        <f>294+6330+158</f>
        <v>6782</v>
      </c>
      <c r="H546" s="91"/>
    </row>
    <row r="547" spans="1:8" ht="15.75" thickBot="1" x14ac:dyDescent="0.3">
      <c r="A547" s="3" t="s">
        <v>22</v>
      </c>
      <c r="B547" s="6">
        <f>G547*56%</f>
        <v>241.92000000000002</v>
      </c>
      <c r="C547" s="6"/>
      <c r="D547" s="61">
        <f>G547-B547</f>
        <v>190.07999999999998</v>
      </c>
      <c r="E547" s="8" t="s">
        <v>8</v>
      </c>
      <c r="F547" s="8" t="s">
        <v>8</v>
      </c>
      <c r="G547" s="90">
        <f>414+18</f>
        <v>432</v>
      </c>
      <c r="H547" s="91"/>
    </row>
    <row r="548" spans="1:8" ht="15.75" thickBot="1" x14ac:dyDescent="0.3">
      <c r="A548" s="3" t="s">
        <v>23</v>
      </c>
      <c r="B548" s="8" t="s">
        <v>8</v>
      </c>
      <c r="C548" s="12"/>
      <c r="D548" s="8" t="s">
        <v>8</v>
      </c>
      <c r="E548" s="8" t="s">
        <v>8</v>
      </c>
      <c r="F548" s="8" t="s">
        <v>8</v>
      </c>
      <c r="G548" s="94"/>
      <c r="H548" s="95"/>
    </row>
    <row r="549" spans="1:8" ht="15.75" thickBot="1" x14ac:dyDescent="0.3">
      <c r="A549" s="3" t="s">
        <v>24</v>
      </c>
      <c r="B549" s="6">
        <f>G549*56%</f>
        <v>0</v>
      </c>
      <c r="C549" s="6"/>
      <c r="D549" s="6"/>
      <c r="E549" s="8" t="s">
        <v>8</v>
      </c>
      <c r="F549" s="8" t="s">
        <v>8</v>
      </c>
      <c r="G549" s="90"/>
      <c r="H549" s="91"/>
    </row>
    <row r="550" spans="1:8" ht="15.75" thickBot="1" x14ac:dyDescent="0.3">
      <c r="A550" s="4" t="s">
        <v>25</v>
      </c>
      <c r="B550" s="6">
        <f>SUM(B534:B549)</f>
        <v>119806.79999999999</v>
      </c>
      <c r="C550" s="6"/>
      <c r="D550" s="6">
        <f>SUM(D534:D549)</f>
        <v>40629.48000000001</v>
      </c>
      <c r="E550" s="6">
        <f>SUM(E534:E549)</f>
        <v>38.72</v>
      </c>
      <c r="F550" s="6"/>
      <c r="G550" s="90">
        <f>SUM(G534:H549)</f>
        <v>172475</v>
      </c>
      <c r="H550" s="91"/>
    </row>
    <row r="551" spans="1:8" x14ac:dyDescent="0.25">
      <c r="A551" s="92" t="s">
        <v>26</v>
      </c>
      <c r="B551" s="92"/>
      <c r="C551" s="92"/>
      <c r="D551" s="92"/>
      <c r="E551" s="92"/>
      <c r="F551" s="92"/>
      <c r="G551" s="92"/>
      <c r="H551" s="92"/>
    </row>
    <row r="552" spans="1:8" x14ac:dyDescent="0.25">
      <c r="A552" s="93" t="s">
        <v>27</v>
      </c>
      <c r="B552" s="93"/>
      <c r="C552" s="93"/>
      <c r="D552" s="93"/>
      <c r="E552" s="93"/>
      <c r="F552" s="93"/>
      <c r="G552" s="93"/>
      <c r="H552" s="93"/>
    </row>
    <row r="553" spans="1:8" x14ac:dyDescent="0.25">
      <c r="A553" s="93" t="s">
        <v>28</v>
      </c>
      <c r="B553" s="93"/>
      <c r="C553" s="93"/>
      <c r="D553" s="93"/>
      <c r="E553" s="93"/>
      <c r="F553" s="93"/>
      <c r="G553" s="93"/>
      <c r="H553" s="93"/>
    </row>
    <row r="554" spans="1:8" x14ac:dyDescent="0.25">
      <c r="A554" s="1"/>
      <c r="B554" s="9"/>
      <c r="C554" s="9"/>
      <c r="D554" s="9"/>
      <c r="E554" s="9"/>
      <c r="F554" s="9"/>
      <c r="G554" s="9"/>
      <c r="H554" s="9"/>
    </row>
    <row r="555" spans="1:8" ht="15.75" x14ac:dyDescent="0.25">
      <c r="A555" s="5"/>
    </row>
    <row r="556" spans="1:8" x14ac:dyDescent="0.25">
      <c r="B556" s="13" t="s">
        <v>77</v>
      </c>
      <c r="C556" s="13">
        <v>156157</v>
      </c>
    </row>
    <row r="557" spans="1:8" x14ac:dyDescent="0.25">
      <c r="C557" s="10">
        <f>C556-B550</f>
        <v>36350.200000000012</v>
      </c>
    </row>
    <row r="561" spans="1:8" x14ac:dyDescent="0.25">
      <c r="A561" s="62"/>
      <c r="B561" s="63"/>
      <c r="C561" s="63"/>
      <c r="D561" s="63"/>
      <c r="E561" s="112" t="s">
        <v>29</v>
      </c>
      <c r="F561" s="112"/>
      <c r="G561" s="112"/>
      <c r="H561" s="112"/>
    </row>
    <row r="562" spans="1:8" x14ac:dyDescent="0.25">
      <c r="A562" s="113"/>
      <c r="B562" s="114"/>
      <c r="C562" s="114"/>
      <c r="D562" s="115"/>
      <c r="E562" s="115" t="s">
        <v>0</v>
      </c>
      <c r="F562" s="115"/>
      <c r="G562" s="115"/>
      <c r="H562" s="115"/>
    </row>
    <row r="563" spans="1:8" x14ac:dyDescent="0.25">
      <c r="A563" s="113"/>
      <c r="B563" s="114"/>
      <c r="C563" s="114"/>
      <c r="D563" s="115"/>
      <c r="E563" s="115" t="s">
        <v>1</v>
      </c>
      <c r="F563" s="115"/>
      <c r="G563" s="115"/>
      <c r="H563" s="115"/>
    </row>
    <row r="564" spans="1:8" ht="15.75" thickBot="1" x14ac:dyDescent="0.3">
      <c r="A564" s="98" t="s">
        <v>38</v>
      </c>
      <c r="B564" s="98"/>
      <c r="C564" s="98"/>
      <c r="D564" s="98"/>
      <c r="E564" s="98"/>
      <c r="F564" s="98"/>
      <c r="G564" s="99"/>
      <c r="H564" s="99"/>
    </row>
    <row r="565" spans="1:8" ht="15.75" thickBot="1" x14ac:dyDescent="0.3">
      <c r="A565" s="100" t="s">
        <v>2</v>
      </c>
      <c r="B565" s="103" t="s">
        <v>30</v>
      </c>
      <c r="C565" s="104"/>
      <c r="D565" s="104"/>
      <c r="E565" s="104"/>
      <c r="F565" s="104"/>
      <c r="G565" s="105" t="s">
        <v>3</v>
      </c>
      <c r="H565" s="106"/>
    </row>
    <row r="566" spans="1:8" ht="105.75" thickBot="1" x14ac:dyDescent="0.3">
      <c r="A566" s="101"/>
      <c r="B566" s="96" t="s">
        <v>30</v>
      </c>
      <c r="C566" s="107"/>
      <c r="D566" s="60" t="s">
        <v>32</v>
      </c>
      <c r="E566" s="107" t="s">
        <v>4</v>
      </c>
      <c r="F566" s="97"/>
      <c r="G566" s="108"/>
      <c r="H566" s="109"/>
    </row>
    <row r="567" spans="1:8" ht="150.75" thickBot="1" x14ac:dyDescent="0.3">
      <c r="A567" s="102"/>
      <c r="B567" s="64" t="s">
        <v>36</v>
      </c>
      <c r="C567" s="64" t="s">
        <v>5</v>
      </c>
      <c r="D567" s="64" t="s">
        <v>33</v>
      </c>
      <c r="E567" s="64" t="s">
        <v>34</v>
      </c>
      <c r="F567" s="64" t="s">
        <v>35</v>
      </c>
      <c r="G567" s="110"/>
      <c r="H567" s="111"/>
    </row>
    <row r="568" spans="1:8" ht="15.75" thickBot="1" x14ac:dyDescent="0.3">
      <c r="A568" s="59">
        <v>1</v>
      </c>
      <c r="B568" s="64">
        <v>2</v>
      </c>
      <c r="C568" s="11">
        <v>3</v>
      </c>
      <c r="D568" s="64">
        <v>4</v>
      </c>
      <c r="E568" s="11">
        <v>5</v>
      </c>
      <c r="F568" s="64">
        <v>6</v>
      </c>
      <c r="G568" s="96" t="s">
        <v>37</v>
      </c>
      <c r="H568" s="97"/>
    </row>
    <row r="569" spans="1:8" ht="60.75" thickBot="1" x14ac:dyDescent="0.3">
      <c r="A569" s="2" t="s">
        <v>7</v>
      </c>
      <c r="B569" s="6">
        <f>B570</f>
        <v>95739.48</v>
      </c>
      <c r="C569" s="12"/>
      <c r="D569" s="6">
        <f>D570</f>
        <v>30233.520000000004</v>
      </c>
      <c r="E569" s="8" t="s">
        <v>8</v>
      </c>
      <c r="F569" s="8" t="s">
        <v>8</v>
      </c>
      <c r="G569" s="90">
        <f>130777-1495-3309</f>
        <v>125973</v>
      </c>
      <c r="H569" s="91"/>
    </row>
    <row r="570" spans="1:8" ht="15.75" thickBot="1" x14ac:dyDescent="0.3">
      <c r="A570" s="3" t="s">
        <v>9</v>
      </c>
      <c r="B570" s="6">
        <f>G570*76%</f>
        <v>95739.48</v>
      </c>
      <c r="C570" s="12"/>
      <c r="D570" s="61">
        <f>G570-B570</f>
        <v>30233.520000000004</v>
      </c>
      <c r="E570" s="8" t="s">
        <v>8</v>
      </c>
      <c r="F570" s="8" t="s">
        <v>8</v>
      </c>
      <c r="G570" s="90">
        <f>G569-G571</f>
        <v>125973</v>
      </c>
      <c r="H570" s="91"/>
    </row>
    <row r="571" spans="1:8" ht="15.75" thickBot="1" x14ac:dyDescent="0.3">
      <c r="A571" s="2" t="s">
        <v>10</v>
      </c>
      <c r="B571" s="6">
        <v>0</v>
      </c>
      <c r="C571" s="12"/>
      <c r="D571" s="6">
        <v>0</v>
      </c>
      <c r="E571" s="8" t="s">
        <v>8</v>
      </c>
      <c r="F571" s="8" t="s">
        <v>8</v>
      </c>
      <c r="G571" s="90"/>
      <c r="H571" s="91"/>
    </row>
    <row r="572" spans="1:8" ht="60.75" thickBot="1" x14ac:dyDescent="0.3">
      <c r="A572" s="2" t="s">
        <v>11</v>
      </c>
      <c r="B572" s="6">
        <f>G572*76%</f>
        <v>28201.32</v>
      </c>
      <c r="C572" s="12"/>
      <c r="D572" s="61">
        <f>G572-B572</f>
        <v>8905.68</v>
      </c>
      <c r="E572" s="8" t="s">
        <v>8</v>
      </c>
      <c r="F572" s="8" t="s">
        <v>8</v>
      </c>
      <c r="G572" s="90">
        <f>37474-367</f>
        <v>37107</v>
      </c>
      <c r="H572" s="91"/>
    </row>
    <row r="573" spans="1:8" ht="30.75" thickBot="1" x14ac:dyDescent="0.3">
      <c r="A573" s="2" t="s">
        <v>12</v>
      </c>
      <c r="B573" s="6">
        <f>G573*76%</f>
        <v>3929.96</v>
      </c>
      <c r="C573" s="12"/>
      <c r="D573" s="61">
        <f>G573-B573</f>
        <v>1241.04</v>
      </c>
      <c r="E573" s="8" t="s">
        <v>8</v>
      </c>
      <c r="F573" s="8" t="s">
        <v>8</v>
      </c>
      <c r="G573" s="90">
        <f>367+1495+3309</f>
        <v>5171</v>
      </c>
      <c r="H573" s="91"/>
    </row>
    <row r="574" spans="1:8" ht="15.75" thickBot="1" x14ac:dyDescent="0.3">
      <c r="A574" s="2" t="s">
        <v>13</v>
      </c>
      <c r="B574" s="6">
        <f>G574*56%</f>
        <v>0</v>
      </c>
      <c r="C574" s="6"/>
      <c r="D574" s="61">
        <f>G574-B574</f>
        <v>0</v>
      </c>
      <c r="E574" s="8" t="s">
        <v>8</v>
      </c>
      <c r="F574" s="8" t="s">
        <v>8</v>
      </c>
      <c r="G574" s="90">
        <v>0</v>
      </c>
      <c r="H574" s="91"/>
    </row>
    <row r="575" spans="1:8" ht="30.75" thickBot="1" x14ac:dyDescent="0.3">
      <c r="A575" s="2" t="s">
        <v>14</v>
      </c>
      <c r="B575" s="6">
        <f>G575*56%</f>
        <v>3467.5200000000004</v>
      </c>
      <c r="C575" s="6"/>
      <c r="D575" s="61">
        <f>G575-B575</f>
        <v>2724.4799999999996</v>
      </c>
      <c r="E575" s="8" t="s">
        <v>8</v>
      </c>
      <c r="F575" s="8" t="s">
        <v>8</v>
      </c>
      <c r="G575" s="90">
        <v>6192</v>
      </c>
      <c r="H575" s="91"/>
    </row>
    <row r="576" spans="1:8" ht="45.75" thickBot="1" x14ac:dyDescent="0.3">
      <c r="A576" s="2" t="s">
        <v>15</v>
      </c>
      <c r="B576" s="8" t="s">
        <v>8</v>
      </c>
      <c r="C576" s="8" t="s">
        <v>8</v>
      </c>
      <c r="D576" s="6"/>
      <c r="E576" s="8" t="s">
        <v>8</v>
      </c>
      <c r="F576" s="8" t="s">
        <v>8</v>
      </c>
      <c r="G576" s="90"/>
      <c r="H576" s="91"/>
    </row>
    <row r="577" spans="1:8" ht="15.75" thickBot="1" x14ac:dyDescent="0.3">
      <c r="A577" s="2" t="s">
        <v>16</v>
      </c>
      <c r="B577" s="8" t="s">
        <v>8</v>
      </c>
      <c r="C577" s="8" t="s">
        <v>8</v>
      </c>
      <c r="D577" s="12"/>
      <c r="E577" s="6">
        <v>750</v>
      </c>
      <c r="F577" s="6"/>
      <c r="G577" s="90">
        <v>12000</v>
      </c>
      <c r="H577" s="91"/>
    </row>
    <row r="578" spans="1:8" ht="15.75" thickBot="1" x14ac:dyDescent="0.3">
      <c r="A578" s="3" t="s">
        <v>17</v>
      </c>
      <c r="B578" s="6">
        <f>G578*56%</f>
        <v>2651.6000000000004</v>
      </c>
      <c r="C578" s="8"/>
      <c r="D578" s="6"/>
      <c r="E578" s="6">
        <f>G578-B578</f>
        <v>2083.3999999999996</v>
      </c>
      <c r="F578" s="6"/>
      <c r="G578" s="90">
        <v>4735</v>
      </c>
      <c r="H578" s="91"/>
    </row>
    <row r="579" spans="1:8" ht="15.75" thickBot="1" x14ac:dyDescent="0.3">
      <c r="A579" s="3" t="s">
        <v>18</v>
      </c>
      <c r="B579" s="6"/>
      <c r="C579" s="8"/>
      <c r="D579" s="8"/>
      <c r="E579" s="6"/>
      <c r="F579" s="6"/>
      <c r="G579" s="90"/>
      <c r="H579" s="91"/>
    </row>
    <row r="580" spans="1:8" ht="45.75" thickBot="1" x14ac:dyDescent="0.3">
      <c r="A580" s="2" t="s">
        <v>19</v>
      </c>
      <c r="B580" s="6"/>
      <c r="C580" s="8"/>
      <c r="D580" s="6"/>
      <c r="E580" s="6"/>
      <c r="F580" s="6"/>
      <c r="G580" s="94"/>
      <c r="H580" s="95"/>
    </row>
    <row r="581" spans="1:8" ht="45.75" thickBot="1" x14ac:dyDescent="0.3">
      <c r="A581" s="2" t="s">
        <v>20</v>
      </c>
      <c r="B581" s="6">
        <f>G581*56%</f>
        <v>55.440000000000005</v>
      </c>
      <c r="C581" s="8"/>
      <c r="D581" s="6"/>
      <c r="E581" s="6">
        <f>G581-B581</f>
        <v>43.559999999999995</v>
      </c>
      <c r="F581" s="6"/>
      <c r="G581" s="90">
        <v>99</v>
      </c>
      <c r="H581" s="91"/>
    </row>
    <row r="582" spans="1:8" ht="30.75" thickBot="1" x14ac:dyDescent="0.3">
      <c r="A582" s="2" t="s">
        <v>21</v>
      </c>
      <c r="B582" s="6">
        <f>G582*56%</f>
        <v>4113.76</v>
      </c>
      <c r="C582" s="6"/>
      <c r="D582" s="61">
        <f>G582-B582</f>
        <v>3232.24</v>
      </c>
      <c r="E582" s="8" t="s">
        <v>8</v>
      </c>
      <c r="F582" s="8" t="s">
        <v>8</v>
      </c>
      <c r="G582" s="90">
        <f>294+6894+158</f>
        <v>7346</v>
      </c>
      <c r="H582" s="91"/>
    </row>
    <row r="583" spans="1:8" ht="15.75" thickBot="1" x14ac:dyDescent="0.3">
      <c r="A583" s="3" t="s">
        <v>22</v>
      </c>
      <c r="B583" s="6">
        <f>G583*56%</f>
        <v>256.48</v>
      </c>
      <c r="C583" s="6"/>
      <c r="D583" s="61">
        <f>G583-B583</f>
        <v>201.51999999999998</v>
      </c>
      <c r="E583" s="8" t="s">
        <v>8</v>
      </c>
      <c r="F583" s="8" t="s">
        <v>8</v>
      </c>
      <c r="G583" s="90">
        <f>18+440</f>
        <v>458</v>
      </c>
      <c r="H583" s="91"/>
    </row>
    <row r="584" spans="1:8" ht="15.75" thickBot="1" x14ac:dyDescent="0.3">
      <c r="A584" s="3" t="s">
        <v>23</v>
      </c>
      <c r="B584" s="8" t="s">
        <v>8</v>
      </c>
      <c r="C584" s="12"/>
      <c r="D584" s="8" t="s">
        <v>8</v>
      </c>
      <c r="E584" s="8" t="s">
        <v>8</v>
      </c>
      <c r="F584" s="8" t="s">
        <v>8</v>
      </c>
      <c r="G584" s="94"/>
      <c r="H584" s="95"/>
    </row>
    <row r="585" spans="1:8" ht="15.75" thickBot="1" x14ac:dyDescent="0.3">
      <c r="A585" s="3" t="s">
        <v>24</v>
      </c>
      <c r="B585" s="6">
        <f>G585*56%</f>
        <v>0</v>
      </c>
      <c r="C585" s="6"/>
      <c r="D585" s="6"/>
      <c r="E585" s="8" t="s">
        <v>8</v>
      </c>
      <c r="F585" s="8" t="s">
        <v>8</v>
      </c>
      <c r="G585" s="90"/>
      <c r="H585" s="91"/>
    </row>
    <row r="586" spans="1:8" ht="15.75" thickBot="1" x14ac:dyDescent="0.3">
      <c r="A586" s="4" t="s">
        <v>25</v>
      </c>
      <c r="B586" s="6">
        <f>SUM(B570:B585)</f>
        <v>138415.56000000003</v>
      </c>
      <c r="C586" s="6"/>
      <c r="D586" s="6">
        <f>SUM(D570:D585)</f>
        <v>46538.479999999996</v>
      </c>
      <c r="E586" s="6">
        <f>SUM(E570:E585)</f>
        <v>2876.9599999999996</v>
      </c>
      <c r="F586" s="6"/>
      <c r="G586" s="90">
        <f>SUM(G570:H585)</f>
        <v>199081</v>
      </c>
      <c r="H586" s="91"/>
    </row>
    <row r="587" spans="1:8" x14ac:dyDescent="0.25">
      <c r="A587" s="92" t="s">
        <v>26</v>
      </c>
      <c r="B587" s="92"/>
      <c r="C587" s="92"/>
      <c r="D587" s="92"/>
      <c r="E587" s="92"/>
      <c r="F587" s="92"/>
      <c r="G587" s="92"/>
      <c r="H587" s="92"/>
    </row>
    <row r="588" spans="1:8" x14ac:dyDescent="0.25">
      <c r="A588" s="93" t="s">
        <v>27</v>
      </c>
      <c r="B588" s="93"/>
      <c r="C588" s="93"/>
      <c r="D588" s="93"/>
      <c r="E588" s="93"/>
      <c r="F588" s="93"/>
      <c r="G588" s="93"/>
      <c r="H588" s="93"/>
    </row>
    <row r="589" spans="1:8" x14ac:dyDescent="0.25">
      <c r="A589" s="93" t="s">
        <v>28</v>
      </c>
      <c r="B589" s="93"/>
      <c r="C589" s="93"/>
      <c r="D589" s="93"/>
      <c r="E589" s="93"/>
      <c r="F589" s="93"/>
      <c r="G589" s="93"/>
      <c r="H589" s="93"/>
    </row>
    <row r="590" spans="1:8" x14ac:dyDescent="0.25">
      <c r="A590" s="1"/>
      <c r="B590" s="9"/>
      <c r="C590" s="9"/>
      <c r="D590" s="9"/>
      <c r="E590" s="9"/>
      <c r="F590" s="9"/>
      <c r="G590" s="9"/>
      <c r="H590" s="9"/>
    </row>
    <row r="591" spans="1:8" ht="15.75" x14ac:dyDescent="0.25">
      <c r="A591" s="5"/>
    </row>
    <row r="592" spans="1:8" x14ac:dyDescent="0.25">
      <c r="B592" s="13" t="s">
        <v>40</v>
      </c>
      <c r="C592" s="13">
        <v>172036</v>
      </c>
    </row>
    <row r="593" spans="1:9" x14ac:dyDescent="0.25">
      <c r="B593" s="13"/>
      <c r="C593" s="10">
        <f>C592-B586</f>
        <v>33620.439999999973</v>
      </c>
    </row>
    <row r="595" spans="1:9" x14ac:dyDescent="0.25">
      <c r="A595" s="62"/>
      <c r="B595" s="63"/>
      <c r="C595" s="63"/>
      <c r="D595" s="63"/>
      <c r="E595" s="112" t="s">
        <v>29</v>
      </c>
      <c r="F595" s="112"/>
      <c r="G595" s="112"/>
      <c r="H595" s="112"/>
    </row>
    <row r="596" spans="1:9" x14ac:dyDescent="0.25">
      <c r="A596" s="113"/>
      <c r="B596" s="114"/>
      <c r="C596" s="114"/>
      <c r="D596" s="115"/>
      <c r="E596" s="115" t="s">
        <v>0</v>
      </c>
      <c r="F596" s="115"/>
      <c r="G596" s="115"/>
      <c r="H596" s="115"/>
    </row>
    <row r="597" spans="1:9" x14ac:dyDescent="0.25">
      <c r="A597" s="113"/>
      <c r="B597" s="114"/>
      <c r="C597" s="114"/>
      <c r="D597" s="115"/>
      <c r="E597" s="115" t="s">
        <v>1</v>
      </c>
      <c r="F597" s="115"/>
      <c r="G597" s="115"/>
      <c r="H597" s="115"/>
    </row>
    <row r="598" spans="1:9" ht="15.75" thickBot="1" x14ac:dyDescent="0.3">
      <c r="A598" s="98" t="s">
        <v>79</v>
      </c>
      <c r="B598" s="98"/>
      <c r="C598" s="98"/>
      <c r="D598" s="98"/>
      <c r="E598" s="98"/>
      <c r="F598" s="98"/>
      <c r="G598" s="99"/>
      <c r="H598" s="99"/>
    </row>
    <row r="599" spans="1:9" ht="15.75" thickBot="1" x14ac:dyDescent="0.3">
      <c r="A599" s="100" t="s">
        <v>2</v>
      </c>
      <c r="B599" s="103" t="s">
        <v>30</v>
      </c>
      <c r="C599" s="104"/>
      <c r="D599" s="104"/>
      <c r="E599" s="104"/>
      <c r="F599" s="104"/>
      <c r="G599" s="105" t="s">
        <v>3</v>
      </c>
      <c r="H599" s="106"/>
    </row>
    <row r="600" spans="1:9" ht="105.75" thickBot="1" x14ac:dyDescent="0.3">
      <c r="A600" s="101"/>
      <c r="B600" s="96" t="s">
        <v>30</v>
      </c>
      <c r="C600" s="107"/>
      <c r="D600" s="60" t="s">
        <v>32</v>
      </c>
      <c r="E600" s="107" t="s">
        <v>4</v>
      </c>
      <c r="F600" s="97"/>
      <c r="G600" s="108"/>
      <c r="H600" s="109"/>
    </row>
    <row r="601" spans="1:9" ht="150.75" thickBot="1" x14ac:dyDescent="0.3">
      <c r="A601" s="102"/>
      <c r="B601" s="64" t="s">
        <v>36</v>
      </c>
      <c r="C601" s="64" t="s">
        <v>5</v>
      </c>
      <c r="D601" s="64" t="s">
        <v>33</v>
      </c>
      <c r="E601" s="64" t="s">
        <v>34</v>
      </c>
      <c r="F601" s="64" t="s">
        <v>35</v>
      </c>
      <c r="G601" s="110"/>
      <c r="H601" s="111"/>
    </row>
    <row r="602" spans="1:9" ht="15.75" thickBot="1" x14ac:dyDescent="0.3">
      <c r="A602" s="59">
        <v>1</v>
      </c>
      <c r="B602" s="64">
        <v>2</v>
      </c>
      <c r="C602" s="11">
        <v>3</v>
      </c>
      <c r="D602" s="64">
        <v>4</v>
      </c>
      <c r="E602" s="11">
        <v>5</v>
      </c>
      <c r="F602" s="64">
        <v>6</v>
      </c>
      <c r="G602" s="96" t="s">
        <v>37</v>
      </c>
      <c r="H602" s="97"/>
    </row>
    <row r="603" spans="1:9" ht="60.75" thickBot="1" x14ac:dyDescent="0.3">
      <c r="A603" s="2" t="s">
        <v>7</v>
      </c>
      <c r="B603" s="6">
        <f>B604</f>
        <v>109557.8</v>
      </c>
      <c r="C603" s="12"/>
      <c r="D603" s="6">
        <f>D604</f>
        <v>34597.199999999997</v>
      </c>
      <c r="E603" s="8" t="s">
        <v>8</v>
      </c>
      <c r="F603" s="8" t="s">
        <v>8</v>
      </c>
      <c r="G603" s="90">
        <f>149074-1610-3309</f>
        <v>144155</v>
      </c>
      <c r="H603" s="91"/>
    </row>
    <row r="604" spans="1:9" ht="15.75" thickBot="1" x14ac:dyDescent="0.3">
      <c r="A604" s="3" t="s">
        <v>9</v>
      </c>
      <c r="B604" s="6">
        <f>G604*76%</f>
        <v>109557.8</v>
      </c>
      <c r="C604" s="12"/>
      <c r="D604" s="61">
        <f>G604-B604</f>
        <v>34597.199999999997</v>
      </c>
      <c r="E604" s="8" t="s">
        <v>8</v>
      </c>
      <c r="F604" s="8" t="s">
        <v>8</v>
      </c>
      <c r="G604" s="90">
        <f>G603-G605</f>
        <v>144155</v>
      </c>
      <c r="H604" s="91"/>
    </row>
    <row r="605" spans="1:9" ht="15.75" thickBot="1" x14ac:dyDescent="0.3">
      <c r="A605" s="2" t="s">
        <v>10</v>
      </c>
      <c r="B605" s="6">
        <v>0</v>
      </c>
      <c r="C605" s="12"/>
      <c r="D605" s="6">
        <v>0</v>
      </c>
      <c r="E605" s="8" t="s">
        <v>8</v>
      </c>
      <c r="F605" s="8" t="s">
        <v>8</v>
      </c>
      <c r="G605" s="90"/>
      <c r="H605" s="91"/>
    </row>
    <row r="606" spans="1:9" ht="60.75" thickBot="1" x14ac:dyDescent="0.3">
      <c r="A606" s="2" t="s">
        <v>11</v>
      </c>
      <c r="B606" s="6">
        <f>G606*76%</f>
        <v>31883.52</v>
      </c>
      <c r="C606" s="12"/>
      <c r="D606" s="61">
        <f>G606-B606</f>
        <v>10068.48</v>
      </c>
      <c r="E606" s="8" t="s">
        <v>8</v>
      </c>
      <c r="F606" s="8" t="s">
        <v>8</v>
      </c>
      <c r="G606" s="90">
        <f>42355-403</f>
        <v>41952</v>
      </c>
      <c r="H606" s="91"/>
    </row>
    <row r="607" spans="1:9" ht="30.75" thickBot="1" x14ac:dyDescent="0.3">
      <c r="A607" s="2" t="s">
        <v>12</v>
      </c>
      <c r="B607" s="6">
        <f>G607*76%</f>
        <v>4044.7200000000003</v>
      </c>
      <c r="C607" s="12"/>
      <c r="D607" s="61">
        <f>G607-B607</f>
        <v>1277.2799999999997</v>
      </c>
      <c r="E607" s="8" t="s">
        <v>8</v>
      </c>
      <c r="F607" s="8" t="s">
        <v>8</v>
      </c>
      <c r="G607" s="90">
        <f>1610+3309+403</f>
        <v>5322</v>
      </c>
      <c r="H607" s="91"/>
      <c r="I607" s="10">
        <f>G603+G606+G607</f>
        <v>191429</v>
      </c>
    </row>
    <row r="608" spans="1:9" ht="15.75" thickBot="1" x14ac:dyDescent="0.3">
      <c r="A608" s="2" t="s">
        <v>13</v>
      </c>
      <c r="B608" s="6">
        <f>G608*56%</f>
        <v>0</v>
      </c>
      <c r="C608" s="6"/>
      <c r="D608" s="61">
        <f>G608-B608</f>
        <v>0</v>
      </c>
      <c r="E608" s="8" t="s">
        <v>8</v>
      </c>
      <c r="F608" s="8" t="s">
        <v>8</v>
      </c>
      <c r="G608" s="90">
        <v>0</v>
      </c>
      <c r="H608" s="91"/>
      <c r="I608">
        <v>191428</v>
      </c>
    </row>
    <row r="609" spans="1:9" ht="30.75" thickBot="1" x14ac:dyDescent="0.3">
      <c r="A609" s="2" t="s">
        <v>14</v>
      </c>
      <c r="B609" s="6">
        <f>G609*56%</f>
        <v>6598.4800000000005</v>
      </c>
      <c r="C609" s="6"/>
      <c r="D609" s="61">
        <f>G609-B609</f>
        <v>5184.5199999999995</v>
      </c>
      <c r="E609" s="8" t="s">
        <v>8</v>
      </c>
      <c r="F609" s="8" t="s">
        <v>8</v>
      </c>
      <c r="G609" s="90">
        <v>11783</v>
      </c>
      <c r="H609" s="91"/>
      <c r="I609" s="10">
        <f>I607-I608</f>
        <v>1</v>
      </c>
    </row>
    <row r="610" spans="1:9" ht="45.75" thickBot="1" x14ac:dyDescent="0.3">
      <c r="A610" s="2" t="s">
        <v>15</v>
      </c>
      <c r="B610" s="8" t="s">
        <v>8</v>
      </c>
      <c r="C610" s="8" t="s">
        <v>8</v>
      </c>
      <c r="D610" s="6"/>
      <c r="E610" s="8" t="s">
        <v>8</v>
      </c>
      <c r="F610" s="8" t="s">
        <v>8</v>
      </c>
      <c r="G610" s="90"/>
      <c r="H610" s="91"/>
    </row>
    <row r="611" spans="1:9" ht="15.75" thickBot="1" x14ac:dyDescent="0.3">
      <c r="A611" s="2" t="s">
        <v>16</v>
      </c>
      <c r="B611" s="8" t="s">
        <v>8</v>
      </c>
      <c r="C611" s="8" t="s">
        <v>8</v>
      </c>
      <c r="D611" s="12"/>
      <c r="E611" s="6">
        <v>2250</v>
      </c>
      <c r="F611" s="6"/>
      <c r="G611" s="90">
        <v>13500</v>
      </c>
      <c r="H611" s="91"/>
    </row>
    <row r="612" spans="1:9" ht="15.75" thickBot="1" x14ac:dyDescent="0.3">
      <c r="A612" s="3" t="s">
        <v>17</v>
      </c>
      <c r="B612" s="6">
        <f>G612*56%</f>
        <v>2651.6000000000004</v>
      </c>
      <c r="C612" s="8"/>
      <c r="D612" s="6"/>
      <c r="E612" s="6">
        <f>G612-B612</f>
        <v>2083.3999999999996</v>
      </c>
      <c r="F612" s="6"/>
      <c r="G612" s="90">
        <v>4735</v>
      </c>
      <c r="H612" s="91"/>
    </row>
    <row r="613" spans="1:9" ht="15.75" thickBot="1" x14ac:dyDescent="0.3">
      <c r="A613" s="3" t="s">
        <v>18</v>
      </c>
      <c r="B613" s="6"/>
      <c r="C613" s="8"/>
      <c r="D613" s="8"/>
      <c r="E613" s="6"/>
      <c r="F613" s="6"/>
      <c r="G613" s="90"/>
      <c r="H613" s="91"/>
    </row>
    <row r="614" spans="1:9" ht="45.75" thickBot="1" x14ac:dyDescent="0.3">
      <c r="A614" s="2" t="s">
        <v>19</v>
      </c>
      <c r="B614" s="6"/>
      <c r="C614" s="8"/>
      <c r="D614" s="6"/>
      <c r="E614" s="6"/>
      <c r="F614" s="6"/>
      <c r="G614" s="94"/>
      <c r="H614" s="95"/>
    </row>
    <row r="615" spans="1:9" ht="45.75" thickBot="1" x14ac:dyDescent="0.3">
      <c r="A615" s="2" t="s">
        <v>20</v>
      </c>
      <c r="B615" s="6">
        <f>G615*56%</f>
        <v>72.800000000000011</v>
      </c>
      <c r="C615" s="8"/>
      <c r="D615" s="6"/>
      <c r="E615" s="6">
        <f>G615-B615</f>
        <v>57.199999999999989</v>
      </c>
      <c r="F615" s="6"/>
      <c r="G615" s="90">
        <v>130</v>
      </c>
      <c r="H615" s="91"/>
    </row>
    <row r="616" spans="1:9" ht="30.75" thickBot="1" x14ac:dyDescent="0.3">
      <c r="A616" s="2" t="s">
        <v>21</v>
      </c>
      <c r="B616" s="6">
        <f>G616*56%</f>
        <v>5276.88</v>
      </c>
      <c r="C616" s="6"/>
      <c r="D616" s="61">
        <f>G616-B616</f>
        <v>4146.12</v>
      </c>
      <c r="E616" s="8" t="s">
        <v>8</v>
      </c>
      <c r="F616" s="8" t="s">
        <v>8</v>
      </c>
      <c r="G616" s="90">
        <f>570+8695+158</f>
        <v>9423</v>
      </c>
      <c r="H616" s="91"/>
    </row>
    <row r="617" spans="1:9" ht="15.75" thickBot="1" x14ac:dyDescent="0.3">
      <c r="A617" s="3" t="s">
        <v>22</v>
      </c>
      <c r="B617" s="6">
        <f>G617*56%</f>
        <v>267.12</v>
      </c>
      <c r="C617" s="6"/>
      <c r="D617" s="61">
        <f>G617-B617</f>
        <v>209.88</v>
      </c>
      <c r="E617" s="8" t="s">
        <v>8</v>
      </c>
      <c r="F617" s="8" t="s">
        <v>8</v>
      </c>
      <c r="G617" s="90">
        <f>459+18</f>
        <v>477</v>
      </c>
      <c r="H617" s="91"/>
    </row>
    <row r="618" spans="1:9" ht="15.75" thickBot="1" x14ac:dyDescent="0.3">
      <c r="A618" s="3" t="s">
        <v>23</v>
      </c>
      <c r="B618" s="8" t="s">
        <v>8</v>
      </c>
      <c r="C618" s="12"/>
      <c r="D618" s="8" t="s">
        <v>8</v>
      </c>
      <c r="E618" s="8" t="s">
        <v>8</v>
      </c>
      <c r="F618" s="8" t="s">
        <v>8</v>
      </c>
      <c r="G618" s="94"/>
      <c r="H618" s="95"/>
    </row>
    <row r="619" spans="1:9" ht="15.75" thickBot="1" x14ac:dyDescent="0.3">
      <c r="A619" s="3" t="s">
        <v>24</v>
      </c>
      <c r="B619" s="6">
        <f>G619*56%</f>
        <v>0</v>
      </c>
      <c r="C619" s="6"/>
      <c r="D619" s="6"/>
      <c r="E619" s="8" t="s">
        <v>8</v>
      </c>
      <c r="F619" s="8" t="s">
        <v>8</v>
      </c>
      <c r="G619" s="90"/>
      <c r="H619" s="91"/>
    </row>
    <row r="620" spans="1:9" ht="15.75" thickBot="1" x14ac:dyDescent="0.3">
      <c r="A620" s="4" t="s">
        <v>25</v>
      </c>
      <c r="B620" s="6">
        <f>SUM(B604:B619)</f>
        <v>160352.92000000001</v>
      </c>
      <c r="C620" s="6"/>
      <c r="D620" s="6">
        <f>SUM(D604:D619)</f>
        <v>55483.479999999989</v>
      </c>
      <c r="E620" s="6">
        <f>SUM(E604:E619)</f>
        <v>4390.5999999999995</v>
      </c>
      <c r="F620" s="6"/>
      <c r="G620" s="90">
        <f>SUM(G604:H619)</f>
        <v>231477</v>
      </c>
      <c r="H620" s="91"/>
    </row>
    <row r="621" spans="1:9" x14ac:dyDescent="0.25">
      <c r="A621" s="92" t="s">
        <v>26</v>
      </c>
      <c r="B621" s="92"/>
      <c r="C621" s="92"/>
      <c r="D621" s="92"/>
      <c r="E621" s="92"/>
      <c r="F621" s="92"/>
      <c r="G621" s="92"/>
      <c r="H621" s="92"/>
    </row>
    <row r="622" spans="1:9" x14ac:dyDescent="0.25">
      <c r="A622" s="93" t="s">
        <v>27</v>
      </c>
      <c r="B622" s="93"/>
      <c r="C622" s="93"/>
      <c r="D622" s="93"/>
      <c r="E622" s="93"/>
      <c r="F622" s="93"/>
      <c r="G622" s="93"/>
      <c r="H622" s="93"/>
    </row>
    <row r="623" spans="1:9" x14ac:dyDescent="0.25">
      <c r="A623" s="93" t="s">
        <v>28</v>
      </c>
      <c r="B623" s="93"/>
      <c r="C623" s="93"/>
      <c r="D623" s="93"/>
      <c r="E623" s="93"/>
      <c r="F623" s="93"/>
      <c r="G623" s="93"/>
      <c r="H623" s="93"/>
    </row>
    <row r="624" spans="1:9" x14ac:dyDescent="0.25">
      <c r="A624" s="1"/>
      <c r="B624" s="9"/>
      <c r="C624" s="9"/>
      <c r="D624" s="9"/>
      <c r="E624" s="9"/>
      <c r="F624" s="9"/>
      <c r="G624" s="9"/>
      <c r="H624" s="9"/>
    </row>
    <row r="625" spans="1:8" ht="15.75" x14ac:dyDescent="0.25">
      <c r="A625" s="5"/>
    </row>
    <row r="626" spans="1:8" x14ac:dyDescent="0.25">
      <c r="B626" s="13" t="s">
        <v>80</v>
      </c>
      <c r="C626" s="13">
        <v>191681</v>
      </c>
    </row>
    <row r="627" spans="1:8" x14ac:dyDescent="0.25">
      <c r="C627" s="10">
        <f>C626-B620</f>
        <v>31328.079999999987</v>
      </c>
    </row>
    <row r="631" spans="1:8" x14ac:dyDescent="0.25">
      <c r="A631" s="62"/>
      <c r="B631" s="63"/>
      <c r="C631" s="63"/>
      <c r="D631" s="63"/>
      <c r="E631" s="112" t="s">
        <v>29</v>
      </c>
      <c r="F631" s="112"/>
      <c r="G631" s="112"/>
      <c r="H631" s="112"/>
    </row>
    <row r="632" spans="1:8" x14ac:dyDescent="0.25">
      <c r="A632" s="113"/>
      <c r="B632" s="114"/>
      <c r="C632" s="114"/>
      <c r="D632" s="115"/>
      <c r="E632" s="115" t="s">
        <v>0</v>
      </c>
      <c r="F632" s="115"/>
      <c r="G632" s="115"/>
      <c r="H632" s="115"/>
    </row>
    <row r="633" spans="1:8" x14ac:dyDescent="0.25">
      <c r="A633" s="113"/>
      <c r="B633" s="114"/>
      <c r="C633" s="114"/>
      <c r="D633" s="115"/>
      <c r="E633" s="115" t="s">
        <v>1</v>
      </c>
      <c r="F633" s="115"/>
      <c r="G633" s="115"/>
      <c r="H633" s="115"/>
    </row>
    <row r="634" spans="1:8" ht="15.75" thickBot="1" x14ac:dyDescent="0.3">
      <c r="A634" s="98" t="s">
        <v>81</v>
      </c>
      <c r="B634" s="98"/>
      <c r="C634" s="98"/>
      <c r="D634" s="98"/>
      <c r="E634" s="98"/>
      <c r="F634" s="98"/>
      <c r="G634" s="99"/>
      <c r="H634" s="99"/>
    </row>
    <row r="635" spans="1:8" ht="15.75" thickBot="1" x14ac:dyDescent="0.3">
      <c r="A635" s="100" t="s">
        <v>2</v>
      </c>
      <c r="B635" s="103" t="s">
        <v>30</v>
      </c>
      <c r="C635" s="104"/>
      <c r="D635" s="104"/>
      <c r="E635" s="104"/>
      <c r="F635" s="104"/>
      <c r="G635" s="105" t="s">
        <v>3</v>
      </c>
      <c r="H635" s="106"/>
    </row>
    <row r="636" spans="1:8" ht="105.75" thickBot="1" x14ac:dyDescent="0.3">
      <c r="A636" s="101"/>
      <c r="B636" s="96" t="s">
        <v>30</v>
      </c>
      <c r="C636" s="107"/>
      <c r="D636" s="60" t="s">
        <v>32</v>
      </c>
      <c r="E636" s="107" t="s">
        <v>4</v>
      </c>
      <c r="F636" s="97"/>
      <c r="G636" s="108"/>
      <c r="H636" s="109"/>
    </row>
    <row r="637" spans="1:8" ht="150.75" thickBot="1" x14ac:dyDescent="0.3">
      <c r="A637" s="102"/>
      <c r="B637" s="64" t="s">
        <v>36</v>
      </c>
      <c r="C637" s="64" t="s">
        <v>5</v>
      </c>
      <c r="D637" s="64" t="s">
        <v>33</v>
      </c>
      <c r="E637" s="64" t="s">
        <v>34</v>
      </c>
      <c r="F637" s="64" t="s">
        <v>35</v>
      </c>
      <c r="G637" s="110"/>
      <c r="H637" s="111"/>
    </row>
    <row r="638" spans="1:8" ht="15.75" thickBot="1" x14ac:dyDescent="0.3">
      <c r="A638" s="59">
        <v>1</v>
      </c>
      <c r="B638" s="64">
        <v>2</v>
      </c>
      <c r="C638" s="11">
        <v>3</v>
      </c>
      <c r="D638" s="64">
        <v>4</v>
      </c>
      <c r="E638" s="11">
        <v>5</v>
      </c>
      <c r="F638" s="64">
        <v>6</v>
      </c>
      <c r="G638" s="96" t="s">
        <v>37</v>
      </c>
      <c r="H638" s="97"/>
    </row>
    <row r="639" spans="1:8" ht="60.75" thickBot="1" x14ac:dyDescent="0.3">
      <c r="A639" s="2" t="s">
        <v>7</v>
      </c>
      <c r="B639" s="6">
        <f>B640</f>
        <v>122515.04000000001</v>
      </c>
      <c r="C639" s="12"/>
      <c r="D639" s="6">
        <f>D640</f>
        <v>38688.959999999992</v>
      </c>
      <c r="E639" s="8" t="s">
        <v>8</v>
      </c>
      <c r="F639" s="8" t="s">
        <v>8</v>
      </c>
      <c r="G639" s="90">
        <f>166280-3351-1725</f>
        <v>161204</v>
      </c>
      <c r="H639" s="91"/>
    </row>
    <row r="640" spans="1:8" ht="15.75" thickBot="1" x14ac:dyDescent="0.3">
      <c r="A640" s="3" t="s">
        <v>9</v>
      </c>
      <c r="B640" s="6">
        <f>G640*76%</f>
        <v>122515.04000000001</v>
      </c>
      <c r="C640" s="12"/>
      <c r="D640" s="61">
        <f>G640-B640</f>
        <v>38688.959999999992</v>
      </c>
      <c r="E640" s="8" t="s">
        <v>8</v>
      </c>
      <c r="F640" s="8" t="s">
        <v>8</v>
      </c>
      <c r="G640" s="90">
        <f>G639-G641</f>
        <v>161204</v>
      </c>
      <c r="H640" s="91"/>
    </row>
    <row r="641" spans="1:9" ht="15.75" thickBot="1" x14ac:dyDescent="0.3">
      <c r="A641" s="2" t="s">
        <v>10</v>
      </c>
      <c r="B641" s="6">
        <v>0</v>
      </c>
      <c r="C641" s="12"/>
      <c r="D641" s="6">
        <v>0</v>
      </c>
      <c r="E641" s="8" t="s">
        <v>8</v>
      </c>
      <c r="F641" s="8" t="s">
        <v>8</v>
      </c>
      <c r="G641" s="90"/>
      <c r="H641" s="91"/>
    </row>
    <row r="642" spans="1:9" ht="60.75" thickBot="1" x14ac:dyDescent="0.3">
      <c r="A642" s="2" t="s">
        <v>11</v>
      </c>
      <c r="B642" s="6">
        <f>G642*76%</f>
        <v>36337.879999999997</v>
      </c>
      <c r="C642" s="12"/>
      <c r="D642" s="61">
        <f>G642-B642</f>
        <v>11475.120000000003</v>
      </c>
      <c r="E642" s="8" t="s">
        <v>8</v>
      </c>
      <c r="F642" s="8" t="s">
        <v>8</v>
      </c>
      <c r="G642" s="90">
        <f>48283-470</f>
        <v>47813</v>
      </c>
      <c r="H642" s="91"/>
    </row>
    <row r="643" spans="1:9" ht="30.75" thickBot="1" x14ac:dyDescent="0.3">
      <c r="A643" s="2" t="s">
        <v>12</v>
      </c>
      <c r="B643" s="6">
        <f>G643*76%</f>
        <v>4214.96</v>
      </c>
      <c r="C643" s="12"/>
      <c r="D643" s="61">
        <f>G643-B643</f>
        <v>1331.04</v>
      </c>
      <c r="E643" s="8" t="s">
        <v>8</v>
      </c>
      <c r="F643" s="8" t="s">
        <v>8</v>
      </c>
      <c r="G643" s="90">
        <f>470+3351+1725</f>
        <v>5546</v>
      </c>
      <c r="H643" s="91"/>
      <c r="I643" s="10">
        <f>G639+G642+G643</f>
        <v>214563</v>
      </c>
    </row>
    <row r="644" spans="1:9" ht="15.75" thickBot="1" x14ac:dyDescent="0.3">
      <c r="A644" s="2" t="s">
        <v>13</v>
      </c>
      <c r="B644" s="6">
        <f>G644*56%</f>
        <v>0</v>
      </c>
      <c r="C644" s="6"/>
      <c r="D644" s="61">
        <f>G644-B644</f>
        <v>0</v>
      </c>
      <c r="E644" s="8" t="s">
        <v>8</v>
      </c>
      <c r="F644" s="8" t="s">
        <v>8</v>
      </c>
      <c r="G644" s="90">
        <v>0</v>
      </c>
      <c r="H644" s="91"/>
      <c r="I644">
        <f>29022+130767</f>
        <v>159789</v>
      </c>
    </row>
    <row r="645" spans="1:9" ht="30.75" thickBot="1" x14ac:dyDescent="0.3">
      <c r="A645" s="2" t="s">
        <v>14</v>
      </c>
      <c r="B645" s="6">
        <f>G645*56%</f>
        <v>9763.0400000000009</v>
      </c>
      <c r="C645" s="6"/>
      <c r="D645" s="61">
        <f>G645-B645</f>
        <v>7670.9599999999991</v>
      </c>
      <c r="E645" s="8" t="s">
        <v>8</v>
      </c>
      <c r="F645" s="8" t="s">
        <v>8</v>
      </c>
      <c r="G645" s="90">
        <v>17434</v>
      </c>
      <c r="H645" s="91"/>
      <c r="I645" s="10">
        <f>I643-I644</f>
        <v>54774</v>
      </c>
    </row>
    <row r="646" spans="1:9" ht="45.75" thickBot="1" x14ac:dyDescent="0.3">
      <c r="A646" s="2" t="s">
        <v>15</v>
      </c>
      <c r="B646" s="8" t="s">
        <v>8</v>
      </c>
      <c r="C646" s="8" t="s">
        <v>8</v>
      </c>
      <c r="D646" s="6"/>
      <c r="E646" s="8" t="s">
        <v>8</v>
      </c>
      <c r="F646" s="8" t="s">
        <v>8</v>
      </c>
      <c r="G646" s="90"/>
      <c r="H646" s="91"/>
    </row>
    <row r="647" spans="1:9" ht="15.75" thickBot="1" x14ac:dyDescent="0.3">
      <c r="A647" s="2" t="s">
        <v>16</v>
      </c>
      <c r="B647" s="8" t="s">
        <v>8</v>
      </c>
      <c r="C647" s="8" t="s">
        <v>8</v>
      </c>
      <c r="D647" s="12"/>
      <c r="E647" s="6">
        <v>2250</v>
      </c>
      <c r="F647" s="6"/>
      <c r="G647" s="90">
        <v>15000</v>
      </c>
      <c r="H647" s="91"/>
    </row>
    <row r="648" spans="1:9" ht="15.75" thickBot="1" x14ac:dyDescent="0.3">
      <c r="A648" s="3" t="s">
        <v>17</v>
      </c>
      <c r="B648" s="6">
        <f>G648*56%</f>
        <v>2651.6000000000004</v>
      </c>
      <c r="C648" s="8"/>
      <c r="D648" s="6"/>
      <c r="E648" s="6">
        <f>G648-B648</f>
        <v>2083.3999999999996</v>
      </c>
      <c r="F648" s="6"/>
      <c r="G648" s="90">
        <v>4735</v>
      </c>
      <c r="H648" s="91"/>
    </row>
    <row r="649" spans="1:9" ht="15.75" thickBot="1" x14ac:dyDescent="0.3">
      <c r="A649" s="3" t="s">
        <v>18</v>
      </c>
      <c r="B649" s="6"/>
      <c r="C649" s="8"/>
      <c r="D649" s="8"/>
      <c r="E649" s="6"/>
      <c r="F649" s="6"/>
      <c r="G649" s="90"/>
      <c r="H649" s="91"/>
    </row>
    <row r="650" spans="1:9" ht="45.75" thickBot="1" x14ac:dyDescent="0.3">
      <c r="A650" s="2" t="s">
        <v>19</v>
      </c>
      <c r="B650" s="6"/>
      <c r="C650" s="8"/>
      <c r="D650" s="6"/>
      <c r="E650" s="6"/>
      <c r="F650" s="6"/>
      <c r="G650" s="94"/>
      <c r="H650" s="95"/>
    </row>
    <row r="651" spans="1:9" ht="45.75" thickBot="1" x14ac:dyDescent="0.3">
      <c r="A651" s="2" t="s">
        <v>20</v>
      </c>
      <c r="B651" s="6">
        <f>G651*56%</f>
        <v>101.36000000000001</v>
      </c>
      <c r="C651" s="8"/>
      <c r="D651" s="6"/>
      <c r="E651" s="6">
        <f>G651-B651</f>
        <v>79.639999999999986</v>
      </c>
      <c r="F651" s="6"/>
      <c r="G651" s="90">
        <v>181</v>
      </c>
      <c r="H651" s="91"/>
    </row>
    <row r="652" spans="1:9" ht="30.75" thickBot="1" x14ac:dyDescent="0.3">
      <c r="A652" s="2" t="s">
        <v>21</v>
      </c>
      <c r="B652" s="6">
        <f>G652*56%</f>
        <v>5648.1600000000008</v>
      </c>
      <c r="C652" s="6"/>
      <c r="D652" s="61">
        <f>G652-B652</f>
        <v>4437.8399999999992</v>
      </c>
      <c r="E652" s="8" t="s">
        <v>8</v>
      </c>
      <c r="F652" s="8" t="s">
        <v>8</v>
      </c>
      <c r="G652" s="90">
        <f>570+9358+158</f>
        <v>10086</v>
      </c>
      <c r="H652" s="91"/>
    </row>
    <row r="653" spans="1:9" ht="15.75" thickBot="1" x14ac:dyDescent="0.3">
      <c r="A653" s="3" t="s">
        <v>22</v>
      </c>
      <c r="B653" s="6">
        <f>G653*56%</f>
        <v>288.40000000000003</v>
      </c>
      <c r="C653" s="6"/>
      <c r="D653" s="61">
        <f>G653-B653</f>
        <v>226.59999999999997</v>
      </c>
      <c r="E653" s="8" t="s">
        <v>8</v>
      </c>
      <c r="F653" s="8" t="s">
        <v>8</v>
      </c>
      <c r="G653" s="90">
        <f>18+497</f>
        <v>515</v>
      </c>
      <c r="H653" s="91"/>
    </row>
    <row r="654" spans="1:9" ht="15.75" thickBot="1" x14ac:dyDescent="0.3">
      <c r="A654" s="3" t="s">
        <v>23</v>
      </c>
      <c r="B654" s="8" t="s">
        <v>8</v>
      </c>
      <c r="C654" s="12"/>
      <c r="D654" s="8" t="s">
        <v>8</v>
      </c>
      <c r="E654" s="8" t="s">
        <v>8</v>
      </c>
      <c r="F654" s="8" t="s">
        <v>8</v>
      </c>
      <c r="G654" s="94"/>
      <c r="H654" s="95"/>
    </row>
    <row r="655" spans="1:9" ht="15.75" thickBot="1" x14ac:dyDescent="0.3">
      <c r="A655" s="3" t="s">
        <v>24</v>
      </c>
      <c r="B655" s="6">
        <f>G655*56%</f>
        <v>0</v>
      </c>
      <c r="C655" s="6"/>
      <c r="D655" s="6"/>
      <c r="E655" s="8" t="s">
        <v>8</v>
      </c>
      <c r="F655" s="8" t="s">
        <v>8</v>
      </c>
      <c r="G655" s="90"/>
      <c r="H655" s="91"/>
    </row>
    <row r="656" spans="1:9" ht="15.75" thickBot="1" x14ac:dyDescent="0.3">
      <c r="A656" s="4" t="s">
        <v>25</v>
      </c>
      <c r="B656" s="6">
        <f>SUM(B640:B655)</f>
        <v>181520.44</v>
      </c>
      <c r="C656" s="6"/>
      <c r="D656" s="6">
        <f>SUM(D640:D655)</f>
        <v>63830.51999999999</v>
      </c>
      <c r="E656" s="6">
        <f>SUM(E640:E655)</f>
        <v>4413.04</v>
      </c>
      <c r="F656" s="6"/>
      <c r="G656" s="90">
        <f>SUM(G640:H655)</f>
        <v>262514</v>
      </c>
      <c r="H656" s="91"/>
    </row>
    <row r="657" spans="1:8" x14ac:dyDescent="0.25">
      <c r="A657" s="92" t="s">
        <v>26</v>
      </c>
      <c r="B657" s="92"/>
      <c r="C657" s="92"/>
      <c r="D657" s="92"/>
      <c r="E657" s="92"/>
      <c r="F657" s="92"/>
      <c r="G657" s="92"/>
      <c r="H657" s="92"/>
    </row>
    <row r="658" spans="1:8" x14ac:dyDescent="0.25">
      <c r="A658" s="93" t="s">
        <v>27</v>
      </c>
      <c r="B658" s="93"/>
      <c r="C658" s="93"/>
      <c r="D658" s="93"/>
      <c r="E658" s="93"/>
      <c r="F658" s="93"/>
      <c r="G658" s="93"/>
      <c r="H658" s="93"/>
    </row>
    <row r="659" spans="1:8" x14ac:dyDescent="0.25">
      <c r="A659" s="93" t="s">
        <v>28</v>
      </c>
      <c r="B659" s="93"/>
      <c r="C659" s="93"/>
      <c r="D659" s="93"/>
      <c r="E659" s="93"/>
      <c r="F659" s="93"/>
      <c r="G659" s="93"/>
      <c r="H659" s="93"/>
    </row>
    <row r="660" spans="1:8" x14ac:dyDescent="0.25">
      <c r="A660" s="1"/>
      <c r="B660" s="9"/>
      <c r="C660" s="9"/>
      <c r="D660" s="9"/>
      <c r="E660" s="9"/>
      <c r="F660" s="9"/>
      <c r="G660" s="9"/>
      <c r="H660" s="9"/>
    </row>
    <row r="661" spans="1:8" ht="15.75" x14ac:dyDescent="0.25">
      <c r="A661" s="5"/>
    </row>
    <row r="662" spans="1:8" x14ac:dyDescent="0.25">
      <c r="B662" s="13" t="s">
        <v>82</v>
      </c>
      <c r="C662" s="13">
        <v>211326</v>
      </c>
    </row>
    <row r="663" spans="1:8" x14ac:dyDescent="0.25">
      <c r="C663" s="10">
        <f>C662-B656</f>
        <v>29805.559999999998</v>
      </c>
    </row>
    <row r="670" spans="1:8" x14ac:dyDescent="0.25">
      <c r="A670" s="62"/>
      <c r="B670" s="63"/>
      <c r="C670" s="63"/>
      <c r="D670" s="63"/>
      <c r="E670" s="112" t="s">
        <v>29</v>
      </c>
      <c r="F670" s="112"/>
      <c r="G670" s="112"/>
      <c r="H670" s="112"/>
    </row>
    <row r="671" spans="1:8" x14ac:dyDescent="0.25">
      <c r="A671" s="113"/>
      <c r="B671" s="114"/>
      <c r="C671" s="114"/>
      <c r="D671" s="115"/>
      <c r="E671" s="115" t="s">
        <v>0</v>
      </c>
      <c r="F671" s="115"/>
      <c r="G671" s="115"/>
      <c r="H671" s="115"/>
    </row>
    <row r="672" spans="1:8" x14ac:dyDescent="0.25">
      <c r="A672" s="113"/>
      <c r="B672" s="114"/>
      <c r="C672" s="114"/>
      <c r="D672" s="115"/>
      <c r="E672" s="115" t="s">
        <v>1</v>
      </c>
      <c r="F672" s="115"/>
      <c r="G672" s="115"/>
      <c r="H672" s="115"/>
    </row>
    <row r="673" spans="1:9" ht="15.75" thickBot="1" x14ac:dyDescent="0.3">
      <c r="A673" s="98" t="s">
        <v>51</v>
      </c>
      <c r="B673" s="98"/>
      <c r="C673" s="98"/>
      <c r="D673" s="98"/>
      <c r="E673" s="98"/>
      <c r="F673" s="98"/>
      <c r="G673" s="99"/>
      <c r="H673" s="99"/>
    </row>
    <row r="674" spans="1:9" ht="15.75" thickBot="1" x14ac:dyDescent="0.3">
      <c r="A674" s="100" t="s">
        <v>2</v>
      </c>
      <c r="B674" s="103" t="s">
        <v>30</v>
      </c>
      <c r="C674" s="104"/>
      <c r="D674" s="104"/>
      <c r="E674" s="104"/>
      <c r="F674" s="104"/>
      <c r="G674" s="105" t="s">
        <v>3</v>
      </c>
      <c r="H674" s="106"/>
    </row>
    <row r="675" spans="1:9" ht="105.75" thickBot="1" x14ac:dyDescent="0.3">
      <c r="A675" s="101"/>
      <c r="B675" s="96" t="s">
        <v>30</v>
      </c>
      <c r="C675" s="107"/>
      <c r="D675" s="60" t="s">
        <v>32</v>
      </c>
      <c r="E675" s="107" t="s">
        <v>4</v>
      </c>
      <c r="F675" s="97"/>
      <c r="G675" s="108"/>
      <c r="H675" s="109"/>
    </row>
    <row r="676" spans="1:9" ht="150.75" thickBot="1" x14ac:dyDescent="0.3">
      <c r="A676" s="102"/>
      <c r="B676" s="64" t="s">
        <v>36</v>
      </c>
      <c r="C676" s="64" t="s">
        <v>5</v>
      </c>
      <c r="D676" s="64" t="s">
        <v>33</v>
      </c>
      <c r="E676" s="64" t="s">
        <v>34</v>
      </c>
      <c r="F676" s="64" t="s">
        <v>35</v>
      </c>
      <c r="G676" s="110"/>
      <c r="H676" s="111"/>
    </row>
    <row r="677" spans="1:9" ht="15.75" thickBot="1" x14ac:dyDescent="0.3">
      <c r="A677" s="59">
        <v>1</v>
      </c>
      <c r="B677" s="64">
        <v>2</v>
      </c>
      <c r="C677" s="11">
        <v>3</v>
      </c>
      <c r="D677" s="64">
        <v>4</v>
      </c>
      <c r="E677" s="11">
        <v>5</v>
      </c>
      <c r="F677" s="64">
        <v>6</v>
      </c>
      <c r="G677" s="96" t="s">
        <v>37</v>
      </c>
      <c r="H677" s="97"/>
    </row>
    <row r="678" spans="1:9" ht="60.75" thickBot="1" x14ac:dyDescent="0.3">
      <c r="A678" s="2" t="s">
        <v>7</v>
      </c>
      <c r="B678" s="6">
        <f>B679</f>
        <v>135609.84</v>
      </c>
      <c r="C678" s="12"/>
      <c r="D678" s="6">
        <f>D679</f>
        <v>42824.160000000003</v>
      </c>
      <c r="E678" s="8" t="s">
        <v>8</v>
      </c>
      <c r="F678" s="8" t="s">
        <v>8</v>
      </c>
      <c r="G678" s="90">
        <f>183317-3309-1725+151</f>
        <v>178434</v>
      </c>
      <c r="H678" s="91"/>
    </row>
    <row r="679" spans="1:9" ht="15.75" thickBot="1" x14ac:dyDescent="0.3">
      <c r="A679" s="3" t="s">
        <v>9</v>
      </c>
      <c r="B679" s="6">
        <f>G679*76%</f>
        <v>135609.84</v>
      </c>
      <c r="C679" s="12"/>
      <c r="D679" s="61">
        <f>G679-B679</f>
        <v>42824.160000000003</v>
      </c>
      <c r="E679" s="8" t="s">
        <v>8</v>
      </c>
      <c r="F679" s="8" t="s">
        <v>8</v>
      </c>
      <c r="G679" s="90">
        <f>G678-G680</f>
        <v>178434</v>
      </c>
      <c r="H679" s="91"/>
    </row>
    <row r="680" spans="1:9" ht="15.75" thickBot="1" x14ac:dyDescent="0.3">
      <c r="A680" s="2" t="s">
        <v>10</v>
      </c>
      <c r="B680" s="6">
        <v>0</v>
      </c>
      <c r="C680" s="12"/>
      <c r="D680" s="6">
        <v>0</v>
      </c>
      <c r="E680" s="8" t="s">
        <v>8</v>
      </c>
      <c r="F680" s="8" t="s">
        <v>8</v>
      </c>
      <c r="G680" s="90"/>
      <c r="H680" s="91"/>
      <c r="I680">
        <f>145707+32421</f>
        <v>178128</v>
      </c>
    </row>
    <row r="681" spans="1:9" ht="60.75" thickBot="1" x14ac:dyDescent="0.3">
      <c r="A681" s="2" t="s">
        <v>11</v>
      </c>
      <c r="B681" s="6">
        <f>G681*76%</f>
        <v>40462.400000000001</v>
      </c>
      <c r="C681" s="12"/>
      <c r="D681" s="61">
        <f>G681-B681</f>
        <v>12777.599999999999</v>
      </c>
      <c r="E681" s="8" t="s">
        <v>8</v>
      </c>
      <c r="F681" s="8" t="s">
        <v>8</v>
      </c>
      <c r="G681" s="90">
        <f>53958-525-42-151</f>
        <v>53240</v>
      </c>
      <c r="H681" s="91"/>
      <c r="I681">
        <v>178128</v>
      </c>
    </row>
    <row r="682" spans="1:9" ht="30.75" thickBot="1" x14ac:dyDescent="0.3">
      <c r="A682" s="2" t="s">
        <v>12</v>
      </c>
      <c r="B682" s="6">
        <f>G682*76%</f>
        <v>4256.76</v>
      </c>
      <c r="C682" s="12"/>
      <c r="D682" s="61">
        <f>G682-B682</f>
        <v>1344.2399999999998</v>
      </c>
      <c r="E682" s="8" t="s">
        <v>8</v>
      </c>
      <c r="F682" s="8" t="s">
        <v>8</v>
      </c>
      <c r="G682" s="90">
        <f>1725+3309+525+42</f>
        <v>5601</v>
      </c>
      <c r="H682" s="91"/>
      <c r="I682" s="10">
        <f>G678+G681+G682</f>
        <v>237275</v>
      </c>
    </row>
    <row r="683" spans="1:9" ht="15.75" thickBot="1" x14ac:dyDescent="0.3">
      <c r="A683" s="2" t="s">
        <v>13</v>
      </c>
      <c r="B683" s="6">
        <f>G683*56%</f>
        <v>0</v>
      </c>
      <c r="C683" s="6"/>
      <c r="D683" s="61">
        <f>G683-B683</f>
        <v>0</v>
      </c>
      <c r="E683" s="8" t="s">
        <v>8</v>
      </c>
      <c r="F683" s="8" t="s">
        <v>8</v>
      </c>
      <c r="G683" s="90">
        <v>0</v>
      </c>
      <c r="H683" s="91"/>
      <c r="I683" s="10">
        <f>I681-I682</f>
        <v>-59147</v>
      </c>
    </row>
    <row r="684" spans="1:9" ht="30.75" thickBot="1" x14ac:dyDescent="0.3">
      <c r="A684" s="2" t="s">
        <v>14</v>
      </c>
      <c r="B684" s="6">
        <f>G684*56%</f>
        <v>11225.76</v>
      </c>
      <c r="C684" s="6"/>
      <c r="D684" s="61">
        <f>G684-B684</f>
        <v>8820.24</v>
      </c>
      <c r="E684" s="8" t="s">
        <v>8</v>
      </c>
      <c r="F684" s="8" t="s">
        <v>8</v>
      </c>
      <c r="G684" s="90">
        <v>20046</v>
      </c>
      <c r="H684" s="91"/>
    </row>
    <row r="685" spans="1:9" ht="45.75" thickBot="1" x14ac:dyDescent="0.3">
      <c r="A685" s="2" t="s">
        <v>15</v>
      </c>
      <c r="B685" s="8" t="s">
        <v>8</v>
      </c>
      <c r="C685" s="8" t="s">
        <v>8</v>
      </c>
      <c r="D685" s="6"/>
      <c r="E685" s="8" t="s">
        <v>8</v>
      </c>
      <c r="F685" s="8" t="s">
        <v>8</v>
      </c>
      <c r="G685" s="90"/>
      <c r="H685" s="91"/>
    </row>
    <row r="686" spans="1:9" ht="15.75" thickBot="1" x14ac:dyDescent="0.3">
      <c r="A686" s="2" t="s">
        <v>16</v>
      </c>
      <c r="B686" s="8" t="s">
        <v>8</v>
      </c>
      <c r="C686" s="8" t="s">
        <v>8</v>
      </c>
      <c r="D686" s="12"/>
      <c r="E686" s="6">
        <v>5250</v>
      </c>
      <c r="F686" s="6"/>
      <c r="G686" s="90">
        <v>18000</v>
      </c>
      <c r="H686" s="91"/>
    </row>
    <row r="687" spans="1:9" ht="15.75" thickBot="1" x14ac:dyDescent="0.3">
      <c r="A687" s="3" t="s">
        <v>17</v>
      </c>
      <c r="B687" s="6">
        <f>G687*56%</f>
        <v>2651.6000000000004</v>
      </c>
      <c r="C687" s="8"/>
      <c r="D687" s="6"/>
      <c r="E687" s="6">
        <f>G687-B687</f>
        <v>2083.3999999999996</v>
      </c>
      <c r="F687" s="6"/>
      <c r="G687" s="90">
        <v>4735</v>
      </c>
      <c r="H687" s="91"/>
    </row>
    <row r="688" spans="1:9" ht="15.75" thickBot="1" x14ac:dyDescent="0.3">
      <c r="A688" s="3" t="s">
        <v>18</v>
      </c>
      <c r="B688" s="6"/>
      <c r="C688" s="8"/>
      <c r="D688" s="8"/>
      <c r="E688" s="6"/>
      <c r="F688" s="6"/>
      <c r="G688" s="90"/>
      <c r="H688" s="91"/>
    </row>
    <row r="689" spans="1:8" ht="45.75" thickBot="1" x14ac:dyDescent="0.3">
      <c r="A689" s="2" t="s">
        <v>19</v>
      </c>
      <c r="B689" s="6"/>
      <c r="C689" s="8"/>
      <c r="D689" s="6"/>
      <c r="E689" s="6"/>
      <c r="F689" s="6"/>
      <c r="G689" s="94"/>
      <c r="H689" s="95"/>
    </row>
    <row r="690" spans="1:8" ht="45.75" thickBot="1" x14ac:dyDescent="0.3">
      <c r="A690" s="2" t="s">
        <v>20</v>
      </c>
      <c r="B690" s="6">
        <f>G690*56%</f>
        <v>129.92000000000002</v>
      </c>
      <c r="C690" s="8"/>
      <c r="D690" s="6"/>
      <c r="E690" s="6">
        <f>G690-B690</f>
        <v>102.07999999999998</v>
      </c>
      <c r="F690" s="6"/>
      <c r="G690" s="90">
        <v>232</v>
      </c>
      <c r="H690" s="91"/>
    </row>
    <row r="691" spans="1:8" ht="30.75" thickBot="1" x14ac:dyDescent="0.3">
      <c r="A691" s="2" t="s">
        <v>21</v>
      </c>
      <c r="B691" s="6">
        <f>G691*56%</f>
        <v>7396.4800000000005</v>
      </c>
      <c r="C691" s="6"/>
      <c r="D691" s="61">
        <f>G691-B691</f>
        <v>5811.5199999999995</v>
      </c>
      <c r="E691" s="8" t="s">
        <v>8</v>
      </c>
      <c r="F691" s="8" t="s">
        <v>8</v>
      </c>
      <c r="G691" s="90">
        <f>570+11868+613+157</f>
        <v>13208</v>
      </c>
      <c r="H691" s="91"/>
    </row>
    <row r="692" spans="1:8" ht="15.75" thickBot="1" x14ac:dyDescent="0.3">
      <c r="A692" s="3" t="s">
        <v>22</v>
      </c>
      <c r="B692" s="6">
        <f>G692*56%</f>
        <v>300.72000000000003</v>
      </c>
      <c r="C692" s="6"/>
      <c r="D692" s="61">
        <f>G692-B692</f>
        <v>236.27999999999997</v>
      </c>
      <c r="E692" s="8" t="s">
        <v>8</v>
      </c>
      <c r="F692" s="8" t="s">
        <v>8</v>
      </c>
      <c r="G692" s="90">
        <f>519+18</f>
        <v>537</v>
      </c>
      <c r="H692" s="91"/>
    </row>
    <row r="693" spans="1:8" ht="15.75" thickBot="1" x14ac:dyDescent="0.3">
      <c r="A693" s="3" t="s">
        <v>23</v>
      </c>
      <c r="B693" s="8" t="s">
        <v>8</v>
      </c>
      <c r="C693" s="12"/>
      <c r="D693" s="8" t="s">
        <v>8</v>
      </c>
      <c r="E693" s="8" t="s">
        <v>8</v>
      </c>
      <c r="F693" s="8" t="s">
        <v>8</v>
      </c>
      <c r="G693" s="94"/>
      <c r="H693" s="95"/>
    </row>
    <row r="694" spans="1:8" ht="15.75" thickBot="1" x14ac:dyDescent="0.3">
      <c r="A694" s="3" t="s">
        <v>24</v>
      </c>
      <c r="B694" s="6">
        <f>G694*56%</f>
        <v>0</v>
      </c>
      <c r="C694" s="6"/>
      <c r="D694" s="6"/>
      <c r="E694" s="8" t="s">
        <v>8</v>
      </c>
      <c r="F694" s="8" t="s">
        <v>8</v>
      </c>
      <c r="G694" s="90"/>
      <c r="H694" s="91"/>
    </row>
    <row r="695" spans="1:8" ht="15.75" thickBot="1" x14ac:dyDescent="0.3">
      <c r="A695" s="4" t="s">
        <v>25</v>
      </c>
      <c r="B695" s="6">
        <f>SUM(B679:B694)</f>
        <v>202033.48000000004</v>
      </c>
      <c r="C695" s="6"/>
      <c r="D695" s="6">
        <f>SUM(D679:D694)</f>
        <v>71814.040000000008</v>
      </c>
      <c r="E695" s="6">
        <f>SUM(E679:E694)</f>
        <v>7435.48</v>
      </c>
      <c r="F695" s="6"/>
      <c r="G695" s="90">
        <f>SUM(G679:H694)</f>
        <v>294033</v>
      </c>
      <c r="H695" s="91"/>
    </row>
    <row r="696" spans="1:8" x14ac:dyDescent="0.25">
      <c r="A696" s="92" t="s">
        <v>26</v>
      </c>
      <c r="B696" s="92"/>
      <c r="C696" s="92"/>
      <c r="D696" s="92"/>
      <c r="E696" s="92"/>
      <c r="F696" s="92"/>
      <c r="G696" s="92"/>
      <c r="H696" s="92"/>
    </row>
    <row r="697" spans="1:8" x14ac:dyDescent="0.25">
      <c r="A697" s="93" t="s">
        <v>27</v>
      </c>
      <c r="B697" s="93"/>
      <c r="C697" s="93"/>
      <c r="D697" s="93"/>
      <c r="E697" s="93"/>
      <c r="F697" s="93"/>
      <c r="G697" s="93"/>
      <c r="H697" s="93"/>
    </row>
    <row r="698" spans="1:8" x14ac:dyDescent="0.25">
      <c r="A698" s="93" t="s">
        <v>28</v>
      </c>
      <c r="B698" s="93"/>
      <c r="C698" s="93"/>
      <c r="D698" s="93"/>
      <c r="E698" s="93"/>
      <c r="F698" s="93"/>
      <c r="G698" s="93"/>
      <c r="H698" s="93"/>
    </row>
    <row r="699" spans="1:8" x14ac:dyDescent="0.25">
      <c r="A699" s="1"/>
      <c r="B699" s="9"/>
      <c r="C699" s="9"/>
      <c r="D699" s="9"/>
      <c r="E699" s="9"/>
      <c r="F699" s="9"/>
      <c r="G699" s="9"/>
      <c r="H699" s="9"/>
    </row>
    <row r="700" spans="1:8" ht="15.75" x14ac:dyDescent="0.25">
      <c r="A700" s="5"/>
    </row>
    <row r="701" spans="1:8" x14ac:dyDescent="0.25">
      <c r="B701" s="13" t="s">
        <v>50</v>
      </c>
      <c r="C701" s="13">
        <v>234022</v>
      </c>
    </row>
    <row r="702" spans="1:8" x14ac:dyDescent="0.25">
      <c r="C702" s="10">
        <f>C701-B695</f>
        <v>31988.51999999996</v>
      </c>
    </row>
  </sheetData>
  <mergeCells count="703">
    <mergeCell ref="E3:H3"/>
    <mergeCell ref="A4:A5"/>
    <mergeCell ref="B4:B5"/>
    <mergeCell ref="C4:C5"/>
    <mergeCell ref="D4:D5"/>
    <mergeCell ref="E4:H4"/>
    <mergeCell ref="E5:H5"/>
    <mergeCell ref="G10:H10"/>
    <mergeCell ref="G11:H11"/>
    <mergeCell ref="G12:H12"/>
    <mergeCell ref="G13:H13"/>
    <mergeCell ref="G14:H14"/>
    <mergeCell ref="G15:H15"/>
    <mergeCell ref="A6:H6"/>
    <mergeCell ref="A7:A9"/>
    <mergeCell ref="B7:F7"/>
    <mergeCell ref="G7:H7"/>
    <mergeCell ref="B8:C8"/>
    <mergeCell ref="E8:F8"/>
    <mergeCell ref="G8:H8"/>
    <mergeCell ref="G9:H9"/>
    <mergeCell ref="G22:H22"/>
    <mergeCell ref="G23:H23"/>
    <mergeCell ref="G24:H24"/>
    <mergeCell ref="G25:H25"/>
    <mergeCell ref="G26:H26"/>
    <mergeCell ref="G27:H27"/>
    <mergeCell ref="G16:H16"/>
    <mergeCell ref="G17:H17"/>
    <mergeCell ref="G18:H18"/>
    <mergeCell ref="G19:H19"/>
    <mergeCell ref="G20:H20"/>
    <mergeCell ref="G21:H21"/>
    <mergeCell ref="G28:H28"/>
    <mergeCell ref="A29:H29"/>
    <mergeCell ref="A30:H30"/>
    <mergeCell ref="A31:H31"/>
    <mergeCell ref="E41:H41"/>
    <mergeCell ref="A42:A43"/>
    <mergeCell ref="B42:B43"/>
    <mergeCell ref="C42:C43"/>
    <mergeCell ref="D42:D43"/>
    <mergeCell ref="E42:H42"/>
    <mergeCell ref="G48:H48"/>
    <mergeCell ref="G49:H49"/>
    <mergeCell ref="G50:H50"/>
    <mergeCell ref="G51:H51"/>
    <mergeCell ref="G52:H52"/>
    <mergeCell ref="G53:H53"/>
    <mergeCell ref="E43:H43"/>
    <mergeCell ref="A44:H44"/>
    <mergeCell ref="A45:A47"/>
    <mergeCell ref="B45:F45"/>
    <mergeCell ref="G45:H45"/>
    <mergeCell ref="B46:C46"/>
    <mergeCell ref="E46:F46"/>
    <mergeCell ref="G46:H46"/>
    <mergeCell ref="G47:H47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66:H66"/>
    <mergeCell ref="A67:H67"/>
    <mergeCell ref="A68:H68"/>
    <mergeCell ref="A69:H69"/>
    <mergeCell ref="E77:H77"/>
    <mergeCell ref="A78:A79"/>
    <mergeCell ref="B78:B79"/>
    <mergeCell ref="C78:C79"/>
    <mergeCell ref="D78:D79"/>
    <mergeCell ref="E78:H78"/>
    <mergeCell ref="G84:H84"/>
    <mergeCell ref="G85:H85"/>
    <mergeCell ref="G86:H86"/>
    <mergeCell ref="G87:H87"/>
    <mergeCell ref="G88:H88"/>
    <mergeCell ref="G89:H89"/>
    <mergeCell ref="E79:H79"/>
    <mergeCell ref="A80:H80"/>
    <mergeCell ref="A81:A83"/>
    <mergeCell ref="B81:F81"/>
    <mergeCell ref="G81:H81"/>
    <mergeCell ref="B82:C82"/>
    <mergeCell ref="E82:F82"/>
    <mergeCell ref="G82:H82"/>
    <mergeCell ref="G83:H83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102:H102"/>
    <mergeCell ref="A103:H103"/>
    <mergeCell ref="A104:H104"/>
    <mergeCell ref="A105:H105"/>
    <mergeCell ref="E116:H116"/>
    <mergeCell ref="A117:A118"/>
    <mergeCell ref="B117:B118"/>
    <mergeCell ref="C117:C118"/>
    <mergeCell ref="D117:D118"/>
    <mergeCell ref="E117:H117"/>
    <mergeCell ref="G123:H123"/>
    <mergeCell ref="G124:H124"/>
    <mergeCell ref="G125:H125"/>
    <mergeCell ref="G126:H126"/>
    <mergeCell ref="G127:H127"/>
    <mergeCell ref="G128:H128"/>
    <mergeCell ref="E118:H118"/>
    <mergeCell ref="A119:H119"/>
    <mergeCell ref="A120:A122"/>
    <mergeCell ref="B120:F120"/>
    <mergeCell ref="G120:H120"/>
    <mergeCell ref="B121:C121"/>
    <mergeCell ref="E121:F121"/>
    <mergeCell ref="G121:H121"/>
    <mergeCell ref="G122:H122"/>
    <mergeCell ref="G135:H135"/>
    <mergeCell ref="G136:H136"/>
    <mergeCell ref="G137:H137"/>
    <mergeCell ref="G138:H138"/>
    <mergeCell ref="G139:H139"/>
    <mergeCell ref="G140:H140"/>
    <mergeCell ref="G129:H129"/>
    <mergeCell ref="G130:H130"/>
    <mergeCell ref="G131:H131"/>
    <mergeCell ref="G132:H132"/>
    <mergeCell ref="G133:H133"/>
    <mergeCell ref="G134:H134"/>
    <mergeCell ref="G141:H141"/>
    <mergeCell ref="A142:H142"/>
    <mergeCell ref="A143:H143"/>
    <mergeCell ref="A144:H144"/>
    <mergeCell ref="E155:H155"/>
    <mergeCell ref="A156:A157"/>
    <mergeCell ref="B156:B157"/>
    <mergeCell ref="C156:C157"/>
    <mergeCell ref="D156:D157"/>
    <mergeCell ref="E156:H156"/>
    <mergeCell ref="G162:H162"/>
    <mergeCell ref="G163:H163"/>
    <mergeCell ref="G164:H164"/>
    <mergeCell ref="G165:H165"/>
    <mergeCell ref="G166:H166"/>
    <mergeCell ref="G167:H167"/>
    <mergeCell ref="E157:H157"/>
    <mergeCell ref="A158:H158"/>
    <mergeCell ref="A159:A161"/>
    <mergeCell ref="B159:F159"/>
    <mergeCell ref="G159:H159"/>
    <mergeCell ref="B160:C160"/>
    <mergeCell ref="E160:F160"/>
    <mergeCell ref="G160:H160"/>
    <mergeCell ref="G161:H161"/>
    <mergeCell ref="G174:H174"/>
    <mergeCell ref="G175:H175"/>
    <mergeCell ref="G176:H176"/>
    <mergeCell ref="G177:H177"/>
    <mergeCell ref="G178:H178"/>
    <mergeCell ref="G179:H179"/>
    <mergeCell ref="G168:H168"/>
    <mergeCell ref="G169:H169"/>
    <mergeCell ref="G170:H170"/>
    <mergeCell ref="G171:H171"/>
    <mergeCell ref="G172:H172"/>
    <mergeCell ref="G173:H173"/>
    <mergeCell ref="G180:H180"/>
    <mergeCell ref="A181:H181"/>
    <mergeCell ref="A182:H182"/>
    <mergeCell ref="A183:H183"/>
    <mergeCell ref="E191:H191"/>
    <mergeCell ref="A192:A193"/>
    <mergeCell ref="B192:B193"/>
    <mergeCell ref="C192:C193"/>
    <mergeCell ref="D192:D193"/>
    <mergeCell ref="E192:H192"/>
    <mergeCell ref="G198:H198"/>
    <mergeCell ref="G199:H199"/>
    <mergeCell ref="G200:H200"/>
    <mergeCell ref="G201:H201"/>
    <mergeCell ref="G202:H202"/>
    <mergeCell ref="G203:H203"/>
    <mergeCell ref="E193:H193"/>
    <mergeCell ref="A194:H194"/>
    <mergeCell ref="A195:A197"/>
    <mergeCell ref="B195:F195"/>
    <mergeCell ref="G195:H195"/>
    <mergeCell ref="B196:C196"/>
    <mergeCell ref="E196:F196"/>
    <mergeCell ref="G196:H196"/>
    <mergeCell ref="G197:H197"/>
    <mergeCell ref="G210:H210"/>
    <mergeCell ref="G211:H211"/>
    <mergeCell ref="G212:H212"/>
    <mergeCell ref="G213:H213"/>
    <mergeCell ref="G214:H214"/>
    <mergeCell ref="G215:H215"/>
    <mergeCell ref="G204:H204"/>
    <mergeCell ref="G205:H205"/>
    <mergeCell ref="G206:H206"/>
    <mergeCell ref="G207:H207"/>
    <mergeCell ref="G208:H208"/>
    <mergeCell ref="G209:H209"/>
    <mergeCell ref="G216:H216"/>
    <mergeCell ref="A217:H217"/>
    <mergeCell ref="A218:H218"/>
    <mergeCell ref="A219:H219"/>
    <mergeCell ref="E228:H228"/>
    <mergeCell ref="A229:A230"/>
    <mergeCell ref="B229:B230"/>
    <mergeCell ref="C229:C230"/>
    <mergeCell ref="D229:D230"/>
    <mergeCell ref="E229:H229"/>
    <mergeCell ref="G235:H235"/>
    <mergeCell ref="G236:H236"/>
    <mergeCell ref="G237:H237"/>
    <mergeCell ref="G238:H238"/>
    <mergeCell ref="G239:H239"/>
    <mergeCell ref="G240:H240"/>
    <mergeCell ref="E230:H230"/>
    <mergeCell ref="A231:H231"/>
    <mergeCell ref="A232:A234"/>
    <mergeCell ref="B232:F232"/>
    <mergeCell ref="G232:H232"/>
    <mergeCell ref="B233:C233"/>
    <mergeCell ref="E233:F233"/>
    <mergeCell ref="G233:H233"/>
    <mergeCell ref="G234:H234"/>
    <mergeCell ref="G247:H247"/>
    <mergeCell ref="G248:H248"/>
    <mergeCell ref="G249:H249"/>
    <mergeCell ref="G250:H250"/>
    <mergeCell ref="G251:H251"/>
    <mergeCell ref="G252:H252"/>
    <mergeCell ref="G241:H241"/>
    <mergeCell ref="G242:H242"/>
    <mergeCell ref="G243:H243"/>
    <mergeCell ref="G244:H244"/>
    <mergeCell ref="G245:H245"/>
    <mergeCell ref="G246:H246"/>
    <mergeCell ref="G253:H253"/>
    <mergeCell ref="A254:H254"/>
    <mergeCell ref="A255:H255"/>
    <mergeCell ref="A256:H256"/>
    <mergeCell ref="E265:H265"/>
    <mergeCell ref="A266:A267"/>
    <mergeCell ref="B266:B267"/>
    <mergeCell ref="C266:C267"/>
    <mergeCell ref="D266:D267"/>
    <mergeCell ref="E266:H266"/>
    <mergeCell ref="G272:H272"/>
    <mergeCell ref="G273:H273"/>
    <mergeCell ref="G274:H274"/>
    <mergeCell ref="G275:H275"/>
    <mergeCell ref="G276:H276"/>
    <mergeCell ref="G277:H277"/>
    <mergeCell ref="E267:H267"/>
    <mergeCell ref="A268:H268"/>
    <mergeCell ref="A269:A271"/>
    <mergeCell ref="B269:F269"/>
    <mergeCell ref="G269:H269"/>
    <mergeCell ref="B270:C270"/>
    <mergeCell ref="E270:F270"/>
    <mergeCell ref="G270:H270"/>
    <mergeCell ref="G271:H271"/>
    <mergeCell ref="G284:H284"/>
    <mergeCell ref="G285:H285"/>
    <mergeCell ref="G286:H286"/>
    <mergeCell ref="G287:H287"/>
    <mergeCell ref="G288:H288"/>
    <mergeCell ref="G289:H289"/>
    <mergeCell ref="G278:H278"/>
    <mergeCell ref="G279:H279"/>
    <mergeCell ref="G280:H280"/>
    <mergeCell ref="G281:H281"/>
    <mergeCell ref="G282:H282"/>
    <mergeCell ref="G283:H283"/>
    <mergeCell ref="G290:H290"/>
    <mergeCell ref="A291:H291"/>
    <mergeCell ref="A292:H292"/>
    <mergeCell ref="A293:H293"/>
    <mergeCell ref="E299:H299"/>
    <mergeCell ref="A300:A301"/>
    <mergeCell ref="B300:B301"/>
    <mergeCell ref="C300:C301"/>
    <mergeCell ref="D300:D301"/>
    <mergeCell ref="E300:H300"/>
    <mergeCell ref="G306:H306"/>
    <mergeCell ref="G307:H307"/>
    <mergeCell ref="G308:H308"/>
    <mergeCell ref="G309:H309"/>
    <mergeCell ref="G310:H310"/>
    <mergeCell ref="G311:H311"/>
    <mergeCell ref="E301:H301"/>
    <mergeCell ref="A302:H302"/>
    <mergeCell ref="A303:A305"/>
    <mergeCell ref="B303:F303"/>
    <mergeCell ref="G303:H303"/>
    <mergeCell ref="B304:C304"/>
    <mergeCell ref="E304:F304"/>
    <mergeCell ref="G304:H304"/>
    <mergeCell ref="G305:H305"/>
    <mergeCell ref="G318:H318"/>
    <mergeCell ref="G319:H319"/>
    <mergeCell ref="G320:H320"/>
    <mergeCell ref="G321:H321"/>
    <mergeCell ref="G322:H322"/>
    <mergeCell ref="G323:H323"/>
    <mergeCell ref="G312:H312"/>
    <mergeCell ref="G313:H313"/>
    <mergeCell ref="G314:H314"/>
    <mergeCell ref="G315:H315"/>
    <mergeCell ref="G316:H316"/>
    <mergeCell ref="G317:H317"/>
    <mergeCell ref="G324:H324"/>
    <mergeCell ref="A325:H325"/>
    <mergeCell ref="A326:H326"/>
    <mergeCell ref="A327:H327"/>
    <mergeCell ref="E337:H337"/>
    <mergeCell ref="A338:A339"/>
    <mergeCell ref="B338:B339"/>
    <mergeCell ref="C338:C339"/>
    <mergeCell ref="D338:D339"/>
    <mergeCell ref="E338:H338"/>
    <mergeCell ref="G344:H344"/>
    <mergeCell ref="G345:H345"/>
    <mergeCell ref="G346:H346"/>
    <mergeCell ref="G347:H347"/>
    <mergeCell ref="G348:H348"/>
    <mergeCell ref="G349:H349"/>
    <mergeCell ref="E339:H339"/>
    <mergeCell ref="A340:H340"/>
    <mergeCell ref="A341:A343"/>
    <mergeCell ref="B341:F341"/>
    <mergeCell ref="G341:H341"/>
    <mergeCell ref="B342:C342"/>
    <mergeCell ref="E342:F342"/>
    <mergeCell ref="G342:H342"/>
    <mergeCell ref="G343:H343"/>
    <mergeCell ref="G356:H356"/>
    <mergeCell ref="G357:H357"/>
    <mergeCell ref="G358:H358"/>
    <mergeCell ref="G359:H359"/>
    <mergeCell ref="G360:H360"/>
    <mergeCell ref="G361:H361"/>
    <mergeCell ref="G350:H350"/>
    <mergeCell ref="G351:H351"/>
    <mergeCell ref="G352:H352"/>
    <mergeCell ref="G353:H353"/>
    <mergeCell ref="G354:H354"/>
    <mergeCell ref="G355:H355"/>
    <mergeCell ref="G362:H362"/>
    <mergeCell ref="A363:H363"/>
    <mergeCell ref="A364:H364"/>
    <mergeCell ref="A365:H365"/>
    <mergeCell ref="E373:H373"/>
    <mergeCell ref="A374:A375"/>
    <mergeCell ref="B374:B375"/>
    <mergeCell ref="C374:C375"/>
    <mergeCell ref="D374:D375"/>
    <mergeCell ref="E374:H374"/>
    <mergeCell ref="E375:H375"/>
    <mergeCell ref="A376:H376"/>
    <mergeCell ref="A377:A379"/>
    <mergeCell ref="B377:F377"/>
    <mergeCell ref="G377:H377"/>
    <mergeCell ref="B378:C378"/>
    <mergeCell ref="E378:F378"/>
    <mergeCell ref="G378:H378"/>
    <mergeCell ref="G379:H379"/>
    <mergeCell ref="G386:H386"/>
    <mergeCell ref="G387:H387"/>
    <mergeCell ref="G388:H388"/>
    <mergeCell ref="G389:H389"/>
    <mergeCell ref="G390:H390"/>
    <mergeCell ref="G391:H391"/>
    <mergeCell ref="G380:H380"/>
    <mergeCell ref="G381:H381"/>
    <mergeCell ref="G382:H382"/>
    <mergeCell ref="G383:H383"/>
    <mergeCell ref="G384:H384"/>
    <mergeCell ref="G385:H385"/>
    <mergeCell ref="G398:H398"/>
    <mergeCell ref="A399:H399"/>
    <mergeCell ref="A400:H400"/>
    <mergeCell ref="A401:H401"/>
    <mergeCell ref="A415:H419"/>
    <mergeCell ref="A420:H420"/>
    <mergeCell ref="G392:H392"/>
    <mergeCell ref="G393:H393"/>
    <mergeCell ref="G394:H394"/>
    <mergeCell ref="G395:H395"/>
    <mergeCell ref="G396:H396"/>
    <mergeCell ref="G397:H397"/>
    <mergeCell ref="E411:H411"/>
    <mergeCell ref="A412:A413"/>
    <mergeCell ref="B412:B413"/>
    <mergeCell ref="C412:C413"/>
    <mergeCell ref="D412:D413"/>
    <mergeCell ref="E412:H412"/>
    <mergeCell ref="E413:H413"/>
    <mergeCell ref="A414:H414"/>
    <mergeCell ref="G424:H424"/>
    <mergeCell ref="G425:H425"/>
    <mergeCell ref="G426:H426"/>
    <mergeCell ref="G427:H427"/>
    <mergeCell ref="G428:H428"/>
    <mergeCell ref="G429:H429"/>
    <mergeCell ref="A421:A423"/>
    <mergeCell ref="B421:F421"/>
    <mergeCell ref="G421:H421"/>
    <mergeCell ref="B422:C422"/>
    <mergeCell ref="E422:F422"/>
    <mergeCell ref="G422:H422"/>
    <mergeCell ref="G423:H423"/>
    <mergeCell ref="G436:H436"/>
    <mergeCell ref="G437:H437"/>
    <mergeCell ref="G438:H438"/>
    <mergeCell ref="G439:H439"/>
    <mergeCell ref="G440:H440"/>
    <mergeCell ref="G441:H441"/>
    <mergeCell ref="G430:H430"/>
    <mergeCell ref="G431:H431"/>
    <mergeCell ref="G432:H432"/>
    <mergeCell ref="G433:H433"/>
    <mergeCell ref="G434:H434"/>
    <mergeCell ref="G435:H435"/>
    <mergeCell ref="G442:H442"/>
    <mergeCell ref="A443:H446"/>
    <mergeCell ref="E456:H456"/>
    <mergeCell ref="A457:A458"/>
    <mergeCell ref="B457:B458"/>
    <mergeCell ref="C457:C458"/>
    <mergeCell ref="D457:D458"/>
    <mergeCell ref="E457:H457"/>
    <mergeCell ref="E458:H458"/>
    <mergeCell ref="G463:H463"/>
    <mergeCell ref="G464:H464"/>
    <mergeCell ref="G465:H465"/>
    <mergeCell ref="G466:H466"/>
    <mergeCell ref="G467:H467"/>
    <mergeCell ref="G468:H468"/>
    <mergeCell ref="A459:H459"/>
    <mergeCell ref="A460:A462"/>
    <mergeCell ref="B460:F460"/>
    <mergeCell ref="G460:H460"/>
    <mergeCell ref="B461:C461"/>
    <mergeCell ref="E461:F461"/>
    <mergeCell ref="G461:H461"/>
    <mergeCell ref="G462:H462"/>
    <mergeCell ref="G475:H475"/>
    <mergeCell ref="G476:H476"/>
    <mergeCell ref="G477:H477"/>
    <mergeCell ref="G478:H478"/>
    <mergeCell ref="G479:H479"/>
    <mergeCell ref="G480:H480"/>
    <mergeCell ref="G469:H469"/>
    <mergeCell ref="G470:H470"/>
    <mergeCell ref="G471:H471"/>
    <mergeCell ref="G472:H472"/>
    <mergeCell ref="G473:H473"/>
    <mergeCell ref="G474:H474"/>
    <mergeCell ref="G481:H481"/>
    <mergeCell ref="A482:H482"/>
    <mergeCell ref="A483:H483"/>
    <mergeCell ref="A484:H484"/>
    <mergeCell ref="E490:H490"/>
    <mergeCell ref="A491:A492"/>
    <mergeCell ref="B491:B492"/>
    <mergeCell ref="C491:C492"/>
    <mergeCell ref="D491:D492"/>
    <mergeCell ref="E491:H491"/>
    <mergeCell ref="G497:H497"/>
    <mergeCell ref="G498:H498"/>
    <mergeCell ref="G499:H499"/>
    <mergeCell ref="G500:H500"/>
    <mergeCell ref="G501:H501"/>
    <mergeCell ref="G502:H502"/>
    <mergeCell ref="E492:H492"/>
    <mergeCell ref="A493:H493"/>
    <mergeCell ref="A494:A496"/>
    <mergeCell ref="B494:F494"/>
    <mergeCell ref="G494:H494"/>
    <mergeCell ref="B495:C495"/>
    <mergeCell ref="E495:F495"/>
    <mergeCell ref="G495:H495"/>
    <mergeCell ref="G496:H496"/>
    <mergeCell ref="G509:H509"/>
    <mergeCell ref="G510:H510"/>
    <mergeCell ref="G511:H511"/>
    <mergeCell ref="G512:H512"/>
    <mergeCell ref="G513:H513"/>
    <mergeCell ref="G514:H514"/>
    <mergeCell ref="G503:H503"/>
    <mergeCell ref="G504:H504"/>
    <mergeCell ref="G505:H505"/>
    <mergeCell ref="G506:H506"/>
    <mergeCell ref="G507:H507"/>
    <mergeCell ref="G508:H508"/>
    <mergeCell ref="G515:H515"/>
    <mergeCell ref="A516:H516"/>
    <mergeCell ref="A517:H517"/>
    <mergeCell ref="A518:H518"/>
    <mergeCell ref="E525:H525"/>
    <mergeCell ref="A526:A527"/>
    <mergeCell ref="B526:B527"/>
    <mergeCell ref="C526:C527"/>
    <mergeCell ref="D526:D527"/>
    <mergeCell ref="E526:H526"/>
    <mergeCell ref="G532:H532"/>
    <mergeCell ref="G533:H533"/>
    <mergeCell ref="G534:H534"/>
    <mergeCell ref="G535:H535"/>
    <mergeCell ref="G536:H536"/>
    <mergeCell ref="G537:H537"/>
    <mergeCell ref="E527:H527"/>
    <mergeCell ref="A528:H528"/>
    <mergeCell ref="A529:A531"/>
    <mergeCell ref="B529:F529"/>
    <mergeCell ref="G529:H529"/>
    <mergeCell ref="B530:C530"/>
    <mergeCell ref="E530:F530"/>
    <mergeCell ref="G530:H530"/>
    <mergeCell ref="G531:H531"/>
    <mergeCell ref="G544:H544"/>
    <mergeCell ref="G545:H545"/>
    <mergeCell ref="G546:H546"/>
    <mergeCell ref="G547:H547"/>
    <mergeCell ref="G548:H548"/>
    <mergeCell ref="G549:H549"/>
    <mergeCell ref="G538:H538"/>
    <mergeCell ref="G539:H539"/>
    <mergeCell ref="G540:H540"/>
    <mergeCell ref="G541:H541"/>
    <mergeCell ref="G542:H542"/>
    <mergeCell ref="G543:H543"/>
    <mergeCell ref="G550:H550"/>
    <mergeCell ref="A551:H551"/>
    <mergeCell ref="A552:H552"/>
    <mergeCell ref="A553:H553"/>
    <mergeCell ref="E561:H561"/>
    <mergeCell ref="A562:A563"/>
    <mergeCell ref="B562:B563"/>
    <mergeCell ref="C562:C563"/>
    <mergeCell ref="D562:D563"/>
    <mergeCell ref="E562:H562"/>
    <mergeCell ref="G568:H568"/>
    <mergeCell ref="G569:H569"/>
    <mergeCell ref="G570:H570"/>
    <mergeCell ref="G571:H571"/>
    <mergeCell ref="G572:H572"/>
    <mergeCell ref="G573:H573"/>
    <mergeCell ref="E563:H563"/>
    <mergeCell ref="A564:H564"/>
    <mergeCell ref="A565:A567"/>
    <mergeCell ref="B565:F565"/>
    <mergeCell ref="G565:H565"/>
    <mergeCell ref="B566:C566"/>
    <mergeCell ref="E566:F566"/>
    <mergeCell ref="G566:H566"/>
    <mergeCell ref="G567:H567"/>
    <mergeCell ref="G580:H580"/>
    <mergeCell ref="G581:H581"/>
    <mergeCell ref="G582:H582"/>
    <mergeCell ref="G583:H583"/>
    <mergeCell ref="G584:H584"/>
    <mergeCell ref="G585:H585"/>
    <mergeCell ref="G574:H574"/>
    <mergeCell ref="G575:H575"/>
    <mergeCell ref="G576:H576"/>
    <mergeCell ref="G577:H577"/>
    <mergeCell ref="G578:H578"/>
    <mergeCell ref="G579:H579"/>
    <mergeCell ref="G586:H586"/>
    <mergeCell ref="A587:H587"/>
    <mergeCell ref="A588:H588"/>
    <mergeCell ref="A589:H589"/>
    <mergeCell ref="E595:H595"/>
    <mergeCell ref="A596:A597"/>
    <mergeCell ref="B596:B597"/>
    <mergeCell ref="C596:C597"/>
    <mergeCell ref="D596:D597"/>
    <mergeCell ref="E596:H596"/>
    <mergeCell ref="G602:H602"/>
    <mergeCell ref="G603:H603"/>
    <mergeCell ref="G604:H604"/>
    <mergeCell ref="G605:H605"/>
    <mergeCell ref="G606:H606"/>
    <mergeCell ref="G607:H607"/>
    <mergeCell ref="E597:H597"/>
    <mergeCell ref="A598:H598"/>
    <mergeCell ref="A599:A601"/>
    <mergeCell ref="B599:F599"/>
    <mergeCell ref="G599:H599"/>
    <mergeCell ref="B600:C600"/>
    <mergeCell ref="E600:F600"/>
    <mergeCell ref="G600:H600"/>
    <mergeCell ref="G601:H601"/>
    <mergeCell ref="G614:H614"/>
    <mergeCell ref="G615:H615"/>
    <mergeCell ref="G616:H616"/>
    <mergeCell ref="G617:H617"/>
    <mergeCell ref="G618:H618"/>
    <mergeCell ref="G619:H619"/>
    <mergeCell ref="G608:H608"/>
    <mergeCell ref="G609:H609"/>
    <mergeCell ref="G610:H610"/>
    <mergeCell ref="G611:H611"/>
    <mergeCell ref="G612:H612"/>
    <mergeCell ref="G613:H613"/>
    <mergeCell ref="G620:H620"/>
    <mergeCell ref="A621:H621"/>
    <mergeCell ref="A622:H622"/>
    <mergeCell ref="A623:H623"/>
    <mergeCell ref="E631:H631"/>
    <mergeCell ref="A632:A633"/>
    <mergeCell ref="B632:B633"/>
    <mergeCell ref="C632:C633"/>
    <mergeCell ref="D632:D633"/>
    <mergeCell ref="E632:H632"/>
    <mergeCell ref="G638:H638"/>
    <mergeCell ref="G639:H639"/>
    <mergeCell ref="G640:H640"/>
    <mergeCell ref="G641:H641"/>
    <mergeCell ref="G642:H642"/>
    <mergeCell ref="G643:H643"/>
    <mergeCell ref="E633:H633"/>
    <mergeCell ref="A634:H634"/>
    <mergeCell ref="A635:A637"/>
    <mergeCell ref="B635:F635"/>
    <mergeCell ref="G635:H635"/>
    <mergeCell ref="B636:C636"/>
    <mergeCell ref="E636:F636"/>
    <mergeCell ref="G636:H636"/>
    <mergeCell ref="G637:H637"/>
    <mergeCell ref="G650:H650"/>
    <mergeCell ref="G651:H651"/>
    <mergeCell ref="G652:H652"/>
    <mergeCell ref="G653:H653"/>
    <mergeCell ref="G654:H654"/>
    <mergeCell ref="G655:H655"/>
    <mergeCell ref="G644:H644"/>
    <mergeCell ref="G645:H645"/>
    <mergeCell ref="G646:H646"/>
    <mergeCell ref="G647:H647"/>
    <mergeCell ref="G648:H648"/>
    <mergeCell ref="G649:H649"/>
    <mergeCell ref="G656:H656"/>
    <mergeCell ref="A657:H657"/>
    <mergeCell ref="A658:H658"/>
    <mergeCell ref="A659:H659"/>
    <mergeCell ref="E670:H670"/>
    <mergeCell ref="A671:A672"/>
    <mergeCell ref="B671:B672"/>
    <mergeCell ref="C671:C672"/>
    <mergeCell ref="D671:D672"/>
    <mergeCell ref="E671:H671"/>
    <mergeCell ref="E672:H672"/>
    <mergeCell ref="A673:H673"/>
    <mergeCell ref="A674:A676"/>
    <mergeCell ref="B674:F674"/>
    <mergeCell ref="G674:H674"/>
    <mergeCell ref="B675:C675"/>
    <mergeCell ref="E675:F675"/>
    <mergeCell ref="G675:H675"/>
    <mergeCell ref="G676:H676"/>
    <mergeCell ref="G683:H683"/>
    <mergeCell ref="G684:H684"/>
    <mergeCell ref="G685:H685"/>
    <mergeCell ref="G686:H686"/>
    <mergeCell ref="G687:H687"/>
    <mergeCell ref="G688:H688"/>
    <mergeCell ref="G677:H677"/>
    <mergeCell ref="G678:H678"/>
    <mergeCell ref="G679:H679"/>
    <mergeCell ref="G680:H680"/>
    <mergeCell ref="G681:H681"/>
    <mergeCell ref="G682:H682"/>
    <mergeCell ref="G695:H695"/>
    <mergeCell ref="A696:H696"/>
    <mergeCell ref="A697:H697"/>
    <mergeCell ref="A698:H698"/>
    <mergeCell ref="G689:H689"/>
    <mergeCell ref="G690:H690"/>
    <mergeCell ref="G691:H691"/>
    <mergeCell ref="G692:H692"/>
    <mergeCell ref="G693:H693"/>
    <mergeCell ref="G694:H694"/>
  </mergeCells>
  <pageMargins left="0.11811023622047245" right="0.11811023622047245" top="0.15748031496062992" bottom="0.15748031496062992" header="0.31496062992125984" footer="0.31496062992125984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05"/>
  <sheetViews>
    <sheetView topLeftCell="A391" workbookViewId="0">
      <selection activeCell="A395" sqref="A1:XFD1048576"/>
    </sheetView>
  </sheetViews>
  <sheetFormatPr defaultRowHeight="15" x14ac:dyDescent="0.25"/>
  <cols>
    <col min="1" max="1" width="35.42578125" customWidth="1"/>
    <col min="2" max="2" width="25.7109375" style="10" customWidth="1"/>
    <col min="3" max="3" width="14.140625" style="10" customWidth="1"/>
    <col min="4" max="4" width="16.140625" style="10" customWidth="1"/>
    <col min="5" max="5" width="17.28515625" style="10" customWidth="1"/>
    <col min="6" max="6" width="11.5703125" style="10" customWidth="1"/>
    <col min="7" max="7" width="12.7109375" style="10" customWidth="1"/>
    <col min="8" max="8" width="8.140625" style="10" customWidth="1"/>
    <col min="11" max="11" width="13.85546875" bestFit="1" customWidth="1"/>
  </cols>
  <sheetData>
    <row r="2" spans="1:9" x14ac:dyDescent="0.25">
      <c r="A2" s="65"/>
      <c r="B2" s="66"/>
      <c r="C2" s="66"/>
      <c r="D2" s="66"/>
      <c r="E2" s="112" t="s">
        <v>29</v>
      </c>
      <c r="F2" s="112"/>
      <c r="G2" s="112"/>
      <c r="H2" s="112"/>
    </row>
    <row r="3" spans="1:9" x14ac:dyDescent="0.25">
      <c r="A3" s="113"/>
      <c r="B3" s="114"/>
      <c r="C3" s="114"/>
      <c r="D3" s="115"/>
      <c r="E3" s="115" t="s">
        <v>0</v>
      </c>
      <c r="F3" s="115"/>
      <c r="G3" s="115"/>
      <c r="H3" s="115"/>
    </row>
    <row r="4" spans="1:9" x14ac:dyDescent="0.25">
      <c r="A4" s="113"/>
      <c r="B4" s="114"/>
      <c r="C4" s="114"/>
      <c r="D4" s="115"/>
      <c r="E4" s="128" t="s">
        <v>31</v>
      </c>
      <c r="F4" s="115"/>
      <c r="G4" s="115"/>
      <c r="H4" s="115"/>
    </row>
    <row r="5" spans="1:9" ht="15.75" thickBot="1" x14ac:dyDescent="0.3">
      <c r="A5" s="98" t="s">
        <v>190</v>
      </c>
      <c r="B5" s="98"/>
      <c r="C5" s="98"/>
      <c r="D5" s="98"/>
      <c r="E5" s="98"/>
      <c r="F5" s="98"/>
      <c r="G5" s="98"/>
      <c r="H5" s="98"/>
    </row>
    <row r="6" spans="1:9" x14ac:dyDescent="0.25">
      <c r="A6" s="100" t="s">
        <v>2</v>
      </c>
      <c r="B6" s="103" t="s">
        <v>30</v>
      </c>
      <c r="C6" s="104"/>
      <c r="D6" s="104"/>
      <c r="E6" s="104"/>
      <c r="F6" s="104"/>
      <c r="G6" s="105" t="s">
        <v>3</v>
      </c>
      <c r="H6" s="106"/>
    </row>
    <row r="7" spans="1:9" ht="135.75" thickBot="1" x14ac:dyDescent="0.3">
      <c r="A7" s="124"/>
      <c r="B7" s="105" t="s">
        <v>30</v>
      </c>
      <c r="C7" s="105"/>
      <c r="D7" s="15" t="s">
        <v>32</v>
      </c>
      <c r="E7" s="105" t="s">
        <v>4</v>
      </c>
      <c r="F7" s="105"/>
      <c r="G7" s="125"/>
      <c r="H7" s="109"/>
    </row>
    <row r="8" spans="1:9" ht="142.5" customHeight="1" thickBot="1" x14ac:dyDescent="0.3">
      <c r="A8" s="102"/>
      <c r="B8" s="75" t="s">
        <v>36</v>
      </c>
      <c r="C8" s="69" t="s">
        <v>5</v>
      </c>
      <c r="D8" s="15" t="s">
        <v>33</v>
      </c>
      <c r="E8" s="69" t="s">
        <v>34</v>
      </c>
      <c r="F8" s="72" t="s">
        <v>35</v>
      </c>
      <c r="G8" s="110"/>
      <c r="H8" s="111"/>
    </row>
    <row r="9" spans="1:9" ht="15.75" thickBot="1" x14ac:dyDescent="0.3">
      <c r="A9" s="68">
        <v>1</v>
      </c>
      <c r="B9" s="72">
        <v>2</v>
      </c>
      <c r="C9" s="11">
        <v>3</v>
      </c>
      <c r="D9" s="72">
        <v>4</v>
      </c>
      <c r="E9" s="11">
        <v>5</v>
      </c>
      <c r="F9" s="72">
        <v>6</v>
      </c>
      <c r="G9" s="96" t="s">
        <v>6</v>
      </c>
      <c r="H9" s="97"/>
    </row>
    <row r="10" spans="1:9" ht="60.75" thickBot="1" x14ac:dyDescent="0.3">
      <c r="A10" s="2" t="s">
        <v>7</v>
      </c>
      <c r="B10" s="6">
        <f>B11</f>
        <v>16496.48</v>
      </c>
      <c r="C10" s="12"/>
      <c r="D10" s="6">
        <f>D11</f>
        <v>4927.5200000000004</v>
      </c>
      <c r="E10" s="8" t="s">
        <v>8</v>
      </c>
      <c r="F10" s="8" t="s">
        <v>8</v>
      </c>
      <c r="G10" s="90">
        <f>17795-135-446+2038+382+747+88+955</f>
        <v>21424</v>
      </c>
      <c r="H10" s="91"/>
    </row>
    <row r="11" spans="1:9" ht="15.75" thickBot="1" x14ac:dyDescent="0.3">
      <c r="A11" s="3" t="s">
        <v>9</v>
      </c>
      <c r="B11" s="6">
        <f>G11*77%</f>
        <v>16496.48</v>
      </c>
      <c r="C11" s="12"/>
      <c r="D11" s="70">
        <f>G11-B11</f>
        <v>4927.5200000000004</v>
      </c>
      <c r="E11" s="8" t="s">
        <v>8</v>
      </c>
      <c r="F11" s="8" t="s">
        <v>8</v>
      </c>
      <c r="G11" s="90">
        <f>G10</f>
        <v>21424</v>
      </c>
      <c r="H11" s="91"/>
    </row>
    <row r="12" spans="1:9" ht="15.75" thickBot="1" x14ac:dyDescent="0.3">
      <c r="A12" s="2" t="s">
        <v>10</v>
      </c>
      <c r="B12" s="6">
        <v>0</v>
      </c>
      <c r="C12" s="12"/>
      <c r="D12" s="6">
        <v>0</v>
      </c>
      <c r="E12" s="8" t="s">
        <v>8</v>
      </c>
      <c r="F12" s="8" t="s">
        <v>8</v>
      </c>
      <c r="G12" s="90">
        <v>0</v>
      </c>
      <c r="H12" s="91"/>
    </row>
    <row r="13" spans="1:9" ht="60.75" thickBot="1" x14ac:dyDescent="0.3">
      <c r="A13" s="2" t="s">
        <v>11</v>
      </c>
      <c r="B13" s="6">
        <f t="shared" ref="B13" si="0">G13*77%</f>
        <v>7784.7</v>
      </c>
      <c r="C13" s="12"/>
      <c r="D13" s="70">
        <f>G13-B13</f>
        <v>2325.3000000000002</v>
      </c>
      <c r="E13" s="8" t="s">
        <v>8</v>
      </c>
      <c r="F13" s="8" t="s">
        <v>8</v>
      </c>
      <c r="G13" s="90">
        <f>8617-70-81+973+209+45+417</f>
        <v>10110</v>
      </c>
      <c r="H13" s="91"/>
    </row>
    <row r="14" spans="1:9" ht="30.75" thickBot="1" x14ac:dyDescent="0.3">
      <c r="A14" s="2" t="s">
        <v>12</v>
      </c>
      <c r="B14" s="6">
        <f>G14*77%</f>
        <v>563.64</v>
      </c>
      <c r="C14" s="12"/>
      <c r="D14" s="70">
        <f>G14-B14</f>
        <v>168.36</v>
      </c>
      <c r="E14" s="8" t="s">
        <v>8</v>
      </c>
      <c r="F14" s="8" t="s">
        <v>8</v>
      </c>
      <c r="G14" s="90">
        <f>135+446+70+81</f>
        <v>732</v>
      </c>
      <c r="H14" s="91"/>
      <c r="I14" s="10">
        <f>G14+G13+G11</f>
        <v>32266</v>
      </c>
    </row>
    <row r="15" spans="1:9" ht="15.75" thickBot="1" x14ac:dyDescent="0.3">
      <c r="A15" s="2" t="s">
        <v>13</v>
      </c>
      <c r="B15" s="6">
        <f>G15*56%</f>
        <v>1628.4800000000002</v>
      </c>
      <c r="C15" s="6"/>
      <c r="D15" s="70">
        <f>G15-B15</f>
        <v>1279.5199999999998</v>
      </c>
      <c r="E15" s="8" t="s">
        <v>8</v>
      </c>
      <c r="F15" s="8" t="s">
        <v>8</v>
      </c>
      <c r="G15" s="90">
        <v>2908</v>
      </c>
      <c r="H15" s="91"/>
    </row>
    <row r="16" spans="1:9" ht="30.75" thickBot="1" x14ac:dyDescent="0.3">
      <c r="A16" s="2" t="s">
        <v>14</v>
      </c>
      <c r="B16" s="6">
        <f>G16*56%</f>
        <v>135.52000000000001</v>
      </c>
      <c r="C16" s="6"/>
      <c r="D16" s="70">
        <f>G16-B16</f>
        <v>106.47999999999999</v>
      </c>
      <c r="E16" s="8" t="s">
        <v>8</v>
      </c>
      <c r="F16" s="8" t="s">
        <v>8</v>
      </c>
      <c r="G16" s="90">
        <v>242</v>
      </c>
      <c r="H16" s="91"/>
    </row>
    <row r="17" spans="1:11" ht="45.75" thickBot="1" x14ac:dyDescent="0.3">
      <c r="A17" s="2" t="s">
        <v>15</v>
      </c>
      <c r="B17" s="8" t="s">
        <v>8</v>
      </c>
      <c r="C17" s="8" t="s">
        <v>8</v>
      </c>
      <c r="D17" s="6"/>
      <c r="E17" s="8" t="s">
        <v>8</v>
      </c>
      <c r="F17" s="8" t="s">
        <v>8</v>
      </c>
      <c r="G17" s="90"/>
      <c r="H17" s="91"/>
    </row>
    <row r="18" spans="1:11" ht="15.75" thickBot="1" x14ac:dyDescent="0.3">
      <c r="A18" s="2" t="s">
        <v>16</v>
      </c>
      <c r="B18" s="8" t="s">
        <v>8</v>
      </c>
      <c r="C18" s="8" t="s">
        <v>8</v>
      </c>
      <c r="D18" s="12"/>
      <c r="E18" s="6"/>
      <c r="F18" s="6"/>
      <c r="G18" s="90"/>
      <c r="H18" s="91"/>
    </row>
    <row r="19" spans="1:11" ht="15.75" thickBot="1" x14ac:dyDescent="0.3">
      <c r="A19" s="3" t="s">
        <v>17</v>
      </c>
      <c r="B19" s="6">
        <f>G19*56%</f>
        <v>414.40000000000003</v>
      </c>
      <c r="C19" s="8"/>
      <c r="D19" s="6"/>
      <c r="E19" s="6">
        <f>G19-B19</f>
        <v>325.59999999999997</v>
      </c>
      <c r="F19" s="6"/>
      <c r="G19" s="90">
        <v>740</v>
      </c>
      <c r="H19" s="91"/>
    </row>
    <row r="20" spans="1:11" ht="15.75" thickBot="1" x14ac:dyDescent="0.3">
      <c r="A20" s="3" t="s">
        <v>18</v>
      </c>
      <c r="B20" s="6"/>
      <c r="C20" s="8"/>
      <c r="D20" s="8"/>
      <c r="E20" s="6"/>
      <c r="F20" s="6"/>
      <c r="G20" s="90"/>
      <c r="H20" s="91"/>
    </row>
    <row r="21" spans="1:11" ht="45.75" thickBot="1" x14ac:dyDescent="0.3">
      <c r="A21" s="2" t="s">
        <v>19</v>
      </c>
      <c r="B21" s="6"/>
      <c r="C21" s="8"/>
      <c r="D21" s="6"/>
      <c r="E21" s="6"/>
      <c r="F21" s="6"/>
      <c r="G21" s="94"/>
      <c r="H21" s="95"/>
    </row>
    <row r="22" spans="1:11" ht="30.75" thickBot="1" x14ac:dyDescent="0.3">
      <c r="A22" s="2" t="s">
        <v>20</v>
      </c>
      <c r="B22" s="6"/>
      <c r="C22" s="8"/>
      <c r="D22" s="6"/>
      <c r="E22" s="6">
        <v>6843</v>
      </c>
      <c r="F22" s="6"/>
      <c r="G22" s="90">
        <v>6843</v>
      </c>
      <c r="H22" s="91"/>
    </row>
    <row r="23" spans="1:11" ht="30.75" thickBot="1" x14ac:dyDescent="0.3">
      <c r="A23" s="2" t="s">
        <v>21</v>
      </c>
      <c r="B23" s="6">
        <f>G23*56%</f>
        <v>1041.6000000000001</v>
      </c>
      <c r="C23" s="6"/>
      <c r="D23" s="70">
        <f>G23-B23</f>
        <v>818.39999999999986</v>
      </c>
      <c r="E23" s="8" t="s">
        <v>8</v>
      </c>
      <c r="F23" s="8" t="s">
        <v>8</v>
      </c>
      <c r="G23" s="90">
        <f>345+1515</f>
        <v>1860</v>
      </c>
      <c r="H23" s="91"/>
    </row>
    <row r="24" spans="1:11" ht="15.75" thickBot="1" x14ac:dyDescent="0.3">
      <c r="A24" s="3" t="s">
        <v>22</v>
      </c>
      <c r="B24" s="6">
        <f>G24*56%</f>
        <v>2256.8000000000002</v>
      </c>
      <c r="C24" s="6"/>
      <c r="D24" s="70">
        <f>G24-B24</f>
        <v>1773.1999999999998</v>
      </c>
      <c r="E24" s="8" t="s">
        <v>8</v>
      </c>
      <c r="F24" s="8" t="s">
        <v>8</v>
      </c>
      <c r="G24" s="90">
        <f>148+1462+2420</f>
        <v>4030</v>
      </c>
      <c r="H24" s="91"/>
    </row>
    <row r="25" spans="1:11" ht="15.75" thickBot="1" x14ac:dyDescent="0.3">
      <c r="A25" s="3" t="s">
        <v>23</v>
      </c>
      <c r="B25" s="8" t="s">
        <v>8</v>
      </c>
      <c r="C25" s="12"/>
      <c r="D25" s="8" t="s">
        <v>8</v>
      </c>
      <c r="E25" s="8" t="s">
        <v>8</v>
      </c>
      <c r="F25" s="8" t="s">
        <v>8</v>
      </c>
      <c r="G25" s="94"/>
      <c r="H25" s="95"/>
    </row>
    <row r="26" spans="1:11" ht="15.75" thickBot="1" x14ac:dyDescent="0.3">
      <c r="A26" s="3" t="s">
        <v>24</v>
      </c>
      <c r="B26" s="6"/>
      <c r="C26" s="6"/>
      <c r="D26" s="6"/>
      <c r="E26" s="8" t="s">
        <v>8</v>
      </c>
      <c r="F26" s="8" t="s">
        <v>8</v>
      </c>
      <c r="G26" s="90"/>
      <c r="H26" s="91"/>
    </row>
    <row r="27" spans="1:11" ht="15.75" thickBot="1" x14ac:dyDescent="0.3">
      <c r="A27" s="4" t="s">
        <v>25</v>
      </c>
      <c r="B27" s="6">
        <f>SUM(B11:B26)</f>
        <v>30321.62</v>
      </c>
      <c r="C27" s="6"/>
      <c r="D27" s="6">
        <f>SUM(D11:D26)</f>
        <v>11398.779999999999</v>
      </c>
      <c r="E27" s="6">
        <f>SUM(E11:E26)</f>
        <v>7168.6</v>
      </c>
      <c r="F27" s="6"/>
      <c r="G27" s="90">
        <f>SUM(G11:H26)</f>
        <v>48889</v>
      </c>
      <c r="H27" s="91"/>
    </row>
    <row r="28" spans="1:11" x14ac:dyDescent="0.25">
      <c r="A28" s="92" t="s">
        <v>26</v>
      </c>
      <c r="B28" s="92"/>
      <c r="C28" s="92"/>
      <c r="D28" s="92"/>
      <c r="E28" s="92"/>
      <c r="F28" s="92"/>
      <c r="G28" s="92"/>
      <c r="H28" s="92"/>
    </row>
    <row r="29" spans="1:11" x14ac:dyDescent="0.25">
      <c r="A29" s="93" t="s">
        <v>27</v>
      </c>
      <c r="B29" s="93"/>
      <c r="C29" s="93"/>
      <c r="D29" s="93"/>
      <c r="E29" s="93"/>
      <c r="F29" s="93"/>
      <c r="G29" s="93"/>
      <c r="H29" s="93"/>
    </row>
    <row r="30" spans="1:11" x14ac:dyDescent="0.25">
      <c r="A30" s="93" t="s">
        <v>28</v>
      </c>
      <c r="B30" s="93"/>
      <c r="C30" s="93"/>
      <c r="D30" s="93"/>
      <c r="E30" s="93"/>
      <c r="F30" s="93"/>
      <c r="G30" s="93"/>
      <c r="H30" s="93"/>
      <c r="K30" s="10" t="e">
        <f>G124-G119</f>
        <v>#VALUE!</v>
      </c>
    </row>
    <row r="31" spans="1:11" x14ac:dyDescent="0.25">
      <c r="K31" s="10" t="e">
        <f>K30-244898</f>
        <v>#VALUE!</v>
      </c>
    </row>
    <row r="32" spans="1:11" x14ac:dyDescent="0.25">
      <c r="B32" s="10" t="s">
        <v>191</v>
      </c>
      <c r="C32" s="10">
        <v>28500</v>
      </c>
    </row>
    <row r="33" spans="1:8" x14ac:dyDescent="0.25">
      <c r="C33" s="10">
        <f>C32-B27</f>
        <v>-1821.619999999999</v>
      </c>
    </row>
    <row r="38" spans="1:8" x14ac:dyDescent="0.25">
      <c r="A38" s="65"/>
      <c r="B38" s="66"/>
      <c r="C38" s="66"/>
      <c r="D38" s="66"/>
      <c r="E38" s="112" t="s">
        <v>29</v>
      </c>
      <c r="F38" s="112"/>
      <c r="G38" s="112"/>
      <c r="H38" s="112"/>
    </row>
    <row r="39" spans="1:8" x14ac:dyDescent="0.25">
      <c r="A39" s="113"/>
      <c r="B39" s="114"/>
      <c r="C39" s="114"/>
      <c r="D39" s="115"/>
      <c r="E39" s="115" t="s">
        <v>0</v>
      </c>
      <c r="F39" s="115"/>
      <c r="G39" s="115"/>
      <c r="H39" s="115"/>
    </row>
    <row r="40" spans="1:8" x14ac:dyDescent="0.25">
      <c r="A40" s="113"/>
      <c r="B40" s="114"/>
      <c r="C40" s="114"/>
      <c r="D40" s="115"/>
      <c r="E40" s="128" t="s">
        <v>31</v>
      </c>
      <c r="F40" s="115"/>
      <c r="G40" s="115"/>
      <c r="H40" s="115"/>
    </row>
    <row r="41" spans="1:8" ht="15.75" thickBot="1" x14ac:dyDescent="0.3">
      <c r="A41" s="98" t="s">
        <v>192</v>
      </c>
      <c r="B41" s="98"/>
      <c r="C41" s="98"/>
      <c r="D41" s="98"/>
      <c r="E41" s="98"/>
      <c r="F41" s="98"/>
      <c r="G41" s="98"/>
      <c r="H41" s="98"/>
    </row>
    <row r="42" spans="1:8" x14ac:dyDescent="0.25">
      <c r="A42" s="100" t="s">
        <v>2</v>
      </c>
      <c r="B42" s="103" t="s">
        <v>30</v>
      </c>
      <c r="C42" s="104"/>
      <c r="D42" s="104"/>
      <c r="E42" s="104"/>
      <c r="F42" s="104"/>
      <c r="G42" s="105" t="s">
        <v>3</v>
      </c>
      <c r="H42" s="106"/>
    </row>
    <row r="43" spans="1:8" ht="135.75" thickBot="1" x14ac:dyDescent="0.3">
      <c r="A43" s="124"/>
      <c r="B43" s="105" t="s">
        <v>30</v>
      </c>
      <c r="C43" s="105"/>
      <c r="D43" s="15" t="s">
        <v>32</v>
      </c>
      <c r="E43" s="105" t="s">
        <v>4</v>
      </c>
      <c r="F43" s="105"/>
      <c r="G43" s="125"/>
      <c r="H43" s="109"/>
    </row>
    <row r="44" spans="1:8" ht="165.75" thickBot="1" x14ac:dyDescent="0.3">
      <c r="A44" s="102"/>
      <c r="B44" s="14" t="s">
        <v>36</v>
      </c>
      <c r="C44" s="69" t="s">
        <v>5</v>
      </c>
      <c r="D44" s="15" t="s">
        <v>33</v>
      </c>
      <c r="E44" s="69" t="s">
        <v>34</v>
      </c>
      <c r="F44" s="72" t="s">
        <v>35</v>
      </c>
      <c r="G44" s="110"/>
      <c r="H44" s="111"/>
    </row>
    <row r="45" spans="1:8" ht="15.75" thickBot="1" x14ac:dyDescent="0.3">
      <c r="A45" s="68">
        <v>1</v>
      </c>
      <c r="B45" s="72">
        <v>2</v>
      </c>
      <c r="C45" s="11">
        <v>3</v>
      </c>
      <c r="D45" s="72">
        <v>4</v>
      </c>
      <c r="E45" s="11">
        <v>5</v>
      </c>
      <c r="F45" s="72">
        <v>6</v>
      </c>
      <c r="G45" s="96" t="s">
        <v>6</v>
      </c>
      <c r="H45" s="97"/>
    </row>
    <row r="46" spans="1:8" ht="60.75" thickBot="1" x14ac:dyDescent="0.3">
      <c r="A46" s="2" t="s">
        <v>7</v>
      </c>
      <c r="B46" s="6">
        <f>B47</f>
        <v>34040.93</v>
      </c>
      <c r="C46" s="12"/>
      <c r="D46" s="6">
        <f>D47</f>
        <v>10168.07</v>
      </c>
      <c r="E46" s="8" t="s">
        <v>8</v>
      </c>
      <c r="F46" s="8" t="s">
        <v>8</v>
      </c>
      <c r="G46" s="90">
        <f>36402-270-543+4165+787+1534+181+1953</f>
        <v>44209</v>
      </c>
      <c r="H46" s="91"/>
    </row>
    <row r="47" spans="1:8" ht="15.75" thickBot="1" x14ac:dyDescent="0.3">
      <c r="A47" s="3" t="s">
        <v>9</v>
      </c>
      <c r="B47" s="6">
        <f>G47*77%</f>
        <v>34040.93</v>
      </c>
      <c r="C47" s="12"/>
      <c r="D47" s="70">
        <f>G47-B47</f>
        <v>10168.07</v>
      </c>
      <c r="E47" s="8" t="s">
        <v>8</v>
      </c>
      <c r="F47" s="8" t="s">
        <v>8</v>
      </c>
      <c r="G47" s="90">
        <f>G46</f>
        <v>44209</v>
      </c>
      <c r="H47" s="91"/>
    </row>
    <row r="48" spans="1:8" ht="15.75" thickBot="1" x14ac:dyDescent="0.3">
      <c r="A48" s="2" t="s">
        <v>10</v>
      </c>
      <c r="B48" s="6">
        <v>0</v>
      </c>
      <c r="C48" s="12"/>
      <c r="D48" s="6">
        <v>0</v>
      </c>
      <c r="E48" s="8" t="s">
        <v>8</v>
      </c>
      <c r="F48" s="8" t="s">
        <v>8</v>
      </c>
      <c r="G48" s="90">
        <v>0</v>
      </c>
      <c r="H48" s="91"/>
    </row>
    <row r="49" spans="1:9" ht="60.75" thickBot="1" x14ac:dyDescent="0.3">
      <c r="A49" s="2" t="s">
        <v>11</v>
      </c>
      <c r="B49" s="6">
        <f t="shared" ref="B49" si="1">G49*77%</f>
        <v>15782.69</v>
      </c>
      <c r="C49" s="12"/>
      <c r="D49" s="70">
        <f>G49-B49</f>
        <v>4714.3099999999995</v>
      </c>
      <c r="E49" s="8" t="s">
        <v>8</v>
      </c>
      <c r="F49" s="8" t="s">
        <v>8</v>
      </c>
      <c r="G49" s="90">
        <f>17396-140-81+1965+422+91+844</f>
        <v>20497</v>
      </c>
      <c r="H49" s="91"/>
    </row>
    <row r="50" spans="1:9" ht="30.75" thickBot="1" x14ac:dyDescent="0.3">
      <c r="A50" s="2" t="s">
        <v>12</v>
      </c>
      <c r="B50" s="6">
        <f>G50*77%</f>
        <v>796.18000000000006</v>
      </c>
      <c r="C50" s="12"/>
      <c r="D50" s="70">
        <f>G50-B50</f>
        <v>237.81999999999994</v>
      </c>
      <c r="E50" s="8" t="s">
        <v>8</v>
      </c>
      <c r="F50" s="8" t="s">
        <v>8</v>
      </c>
      <c r="G50" s="90">
        <f>270+543+140+81</f>
        <v>1034</v>
      </c>
      <c r="H50" s="91"/>
      <c r="I50" s="10">
        <f>G50+G49+G47</f>
        <v>65740</v>
      </c>
    </row>
    <row r="51" spans="1:9" ht="15.75" thickBot="1" x14ac:dyDescent="0.3">
      <c r="A51" s="2" t="s">
        <v>13</v>
      </c>
      <c r="B51" s="6">
        <f>G51*56%</f>
        <v>2293.2000000000003</v>
      </c>
      <c r="C51" s="6"/>
      <c r="D51" s="70">
        <f>G51-B51</f>
        <v>1801.7999999999997</v>
      </c>
      <c r="E51" s="8" t="s">
        <v>8</v>
      </c>
      <c r="F51" s="8" t="s">
        <v>8</v>
      </c>
      <c r="G51" s="90">
        <v>4095</v>
      </c>
      <c r="H51" s="91"/>
    </row>
    <row r="52" spans="1:9" ht="30.75" thickBot="1" x14ac:dyDescent="0.3">
      <c r="A52" s="2" t="s">
        <v>14</v>
      </c>
      <c r="B52" s="6">
        <f>G52*56%</f>
        <v>1084.72</v>
      </c>
      <c r="C52" s="6"/>
      <c r="D52" s="70">
        <f>G52-B52</f>
        <v>852.28</v>
      </c>
      <c r="E52" s="8" t="s">
        <v>8</v>
      </c>
      <c r="F52" s="8" t="s">
        <v>8</v>
      </c>
      <c r="G52" s="90">
        <f>1145+564+228</f>
        <v>1937</v>
      </c>
      <c r="H52" s="91"/>
    </row>
    <row r="53" spans="1:9" ht="45.75" thickBot="1" x14ac:dyDescent="0.3">
      <c r="A53" s="2" t="s">
        <v>15</v>
      </c>
      <c r="B53" s="8" t="s">
        <v>8</v>
      </c>
      <c r="C53" s="8" t="s">
        <v>8</v>
      </c>
      <c r="D53" s="6"/>
      <c r="E53" s="8" t="s">
        <v>8</v>
      </c>
      <c r="F53" s="8" t="s">
        <v>8</v>
      </c>
      <c r="G53" s="90"/>
      <c r="H53" s="91"/>
    </row>
    <row r="54" spans="1:9" ht="15.75" thickBot="1" x14ac:dyDescent="0.3">
      <c r="A54" s="2" t="s">
        <v>16</v>
      </c>
      <c r="B54" s="8" t="s">
        <v>8</v>
      </c>
      <c r="C54" s="8" t="s">
        <v>8</v>
      </c>
      <c r="D54" s="12">
        <v>0</v>
      </c>
      <c r="E54" s="6">
        <v>0</v>
      </c>
      <c r="F54" s="6"/>
      <c r="G54" s="90">
        <v>0</v>
      </c>
      <c r="H54" s="91"/>
    </row>
    <row r="55" spans="1:9" ht="15.75" thickBot="1" x14ac:dyDescent="0.3">
      <c r="A55" s="3" t="s">
        <v>17</v>
      </c>
      <c r="B55" s="6">
        <f>G55*56%</f>
        <v>719.6</v>
      </c>
      <c r="C55" s="8"/>
      <c r="D55" s="6"/>
      <c r="E55" s="6">
        <f>G55-B55</f>
        <v>565.4</v>
      </c>
      <c r="F55" s="6"/>
      <c r="G55" s="90">
        <v>1285</v>
      </c>
      <c r="H55" s="91"/>
    </row>
    <row r="56" spans="1:9" ht="15.75" thickBot="1" x14ac:dyDescent="0.3">
      <c r="A56" s="3" t="s">
        <v>18</v>
      </c>
      <c r="B56" s="6"/>
      <c r="C56" s="8"/>
      <c r="D56" s="8"/>
      <c r="E56" s="6"/>
      <c r="F56" s="6"/>
      <c r="G56" s="90"/>
      <c r="H56" s="91"/>
    </row>
    <row r="57" spans="1:9" ht="45.75" thickBot="1" x14ac:dyDescent="0.3">
      <c r="A57" s="2" t="s">
        <v>19</v>
      </c>
      <c r="B57" s="6"/>
      <c r="C57" s="8"/>
      <c r="D57" s="6"/>
      <c r="E57" s="6"/>
      <c r="F57" s="6"/>
      <c r="G57" s="94"/>
      <c r="H57" s="95"/>
    </row>
    <row r="58" spans="1:9" ht="30.75" thickBot="1" x14ac:dyDescent="0.3">
      <c r="A58" s="2" t="s">
        <v>20</v>
      </c>
      <c r="B58" s="6"/>
      <c r="C58" s="8"/>
      <c r="D58" s="6"/>
      <c r="E58" s="6">
        <v>14034</v>
      </c>
      <c r="F58" s="6"/>
      <c r="G58" s="90">
        <v>14034</v>
      </c>
      <c r="H58" s="91"/>
    </row>
    <row r="59" spans="1:9" ht="30.75" thickBot="1" x14ac:dyDescent="0.3">
      <c r="A59" s="2" t="s">
        <v>21</v>
      </c>
      <c r="B59" s="6">
        <f>G59*56%</f>
        <v>3155.0400000000004</v>
      </c>
      <c r="C59" s="6"/>
      <c r="D59" s="70">
        <f>G59-B59</f>
        <v>2478.9599999999996</v>
      </c>
      <c r="E59" s="8" t="s">
        <v>8</v>
      </c>
      <c r="F59" s="8" t="s">
        <v>8</v>
      </c>
      <c r="G59" s="90">
        <f>6919-G55</f>
        <v>5634</v>
      </c>
      <c r="H59" s="91"/>
    </row>
    <row r="60" spans="1:9" ht="15.75" thickBot="1" x14ac:dyDescent="0.3">
      <c r="A60" s="3" t="s">
        <v>22</v>
      </c>
      <c r="B60" s="6">
        <f>G60*56%</f>
        <v>3591.84</v>
      </c>
      <c r="C60" s="6"/>
      <c r="D60" s="70">
        <f>G60-B60</f>
        <v>2822.16</v>
      </c>
      <c r="E60" s="8" t="s">
        <v>8</v>
      </c>
      <c r="F60" s="8" t="s">
        <v>8</v>
      </c>
      <c r="G60" s="90">
        <f>1028+2910+2476</f>
        <v>6414</v>
      </c>
      <c r="H60" s="91"/>
    </row>
    <row r="61" spans="1:9" ht="15.75" thickBot="1" x14ac:dyDescent="0.3">
      <c r="A61" s="3" t="s">
        <v>23</v>
      </c>
      <c r="B61" s="8" t="s">
        <v>8</v>
      </c>
      <c r="C61" s="12"/>
      <c r="D61" s="8" t="s">
        <v>8</v>
      </c>
      <c r="E61" s="8" t="s">
        <v>8</v>
      </c>
      <c r="F61" s="8" t="s">
        <v>8</v>
      </c>
      <c r="G61" s="94"/>
      <c r="H61" s="95"/>
    </row>
    <row r="62" spans="1:9" ht="15.75" thickBot="1" x14ac:dyDescent="0.3">
      <c r="A62" s="3" t="s">
        <v>24</v>
      </c>
      <c r="B62" s="6"/>
      <c r="C62" s="6"/>
      <c r="D62" s="6"/>
      <c r="E62" s="8" t="s">
        <v>8</v>
      </c>
      <c r="F62" s="8" t="s">
        <v>8</v>
      </c>
      <c r="G62" s="90"/>
      <c r="H62" s="91"/>
    </row>
    <row r="63" spans="1:9" ht="15.75" thickBot="1" x14ac:dyDescent="0.3">
      <c r="A63" s="4" t="s">
        <v>25</v>
      </c>
      <c r="B63" s="6">
        <f>SUM(B47:B62)</f>
        <v>61464.2</v>
      </c>
      <c r="C63" s="6"/>
      <c r="D63" s="6">
        <f>SUM(D47:D62)</f>
        <v>23075.399999999998</v>
      </c>
      <c r="E63" s="6">
        <f>SUM(E47:E62)</f>
        <v>14599.4</v>
      </c>
      <c r="F63" s="6"/>
      <c r="G63" s="90">
        <f>SUM(G47:H62)</f>
        <v>99139</v>
      </c>
      <c r="H63" s="91"/>
      <c r="I63" s="10">
        <f>76363-G63</f>
        <v>-22776</v>
      </c>
    </row>
    <row r="64" spans="1:9" x14ac:dyDescent="0.25">
      <c r="A64" s="92" t="s">
        <v>26</v>
      </c>
      <c r="B64" s="92"/>
      <c r="C64" s="92"/>
      <c r="D64" s="92"/>
      <c r="E64" s="92"/>
      <c r="F64" s="92"/>
      <c r="G64" s="92"/>
      <c r="H64" s="92"/>
    </row>
    <row r="65" spans="1:11" x14ac:dyDescent="0.25">
      <c r="A65" s="93" t="s">
        <v>27</v>
      </c>
      <c r="B65" s="93"/>
      <c r="C65" s="93"/>
      <c r="D65" s="93"/>
      <c r="E65" s="93"/>
      <c r="F65" s="93"/>
      <c r="G65" s="93"/>
      <c r="H65" s="93"/>
    </row>
    <row r="66" spans="1:11" x14ac:dyDescent="0.25">
      <c r="A66" s="93" t="s">
        <v>28</v>
      </c>
      <c r="B66" s="93"/>
      <c r="C66" s="93"/>
      <c r="D66" s="93"/>
      <c r="E66" s="93"/>
      <c r="F66" s="93"/>
      <c r="G66" s="93"/>
      <c r="H66" s="93"/>
      <c r="K66" s="10">
        <f>G558-G553</f>
        <v>117223</v>
      </c>
    </row>
    <row r="67" spans="1:11" x14ac:dyDescent="0.25">
      <c r="K67" s="10">
        <f>K66-244898</f>
        <v>-127675</v>
      </c>
    </row>
    <row r="68" spans="1:11" x14ac:dyDescent="0.25">
      <c r="B68" s="10" t="s">
        <v>193</v>
      </c>
      <c r="C68" s="10">
        <v>58350</v>
      </c>
    </row>
    <row r="69" spans="1:11" x14ac:dyDescent="0.25">
      <c r="C69" s="10">
        <f>C68-B63</f>
        <v>-3114.1999999999971</v>
      </c>
    </row>
    <row r="76" spans="1:11" x14ac:dyDescent="0.25">
      <c r="A76" s="65"/>
      <c r="B76" s="66"/>
      <c r="C76" s="66"/>
      <c r="D76" s="66"/>
      <c r="E76" s="112" t="s">
        <v>29</v>
      </c>
      <c r="F76" s="112"/>
      <c r="G76" s="112"/>
      <c r="H76" s="112"/>
    </row>
    <row r="77" spans="1:11" x14ac:dyDescent="0.25">
      <c r="A77" s="113"/>
      <c r="B77" s="114"/>
      <c r="C77" s="114"/>
      <c r="D77" s="115"/>
      <c r="E77" s="115" t="s">
        <v>0</v>
      </c>
      <c r="F77" s="115"/>
      <c r="G77" s="115"/>
      <c r="H77" s="115"/>
    </row>
    <row r="78" spans="1:11" x14ac:dyDescent="0.25">
      <c r="A78" s="113"/>
      <c r="B78" s="114"/>
      <c r="C78" s="114"/>
      <c r="D78" s="115"/>
      <c r="E78" s="128" t="s">
        <v>31</v>
      </c>
      <c r="F78" s="115"/>
      <c r="G78" s="115"/>
      <c r="H78" s="115"/>
    </row>
    <row r="79" spans="1:11" ht="15.75" thickBot="1" x14ac:dyDescent="0.3">
      <c r="A79" s="98" t="s">
        <v>194</v>
      </c>
      <c r="B79" s="98"/>
      <c r="C79" s="98"/>
      <c r="D79" s="98"/>
      <c r="E79" s="98"/>
      <c r="F79" s="98"/>
      <c r="G79" s="98"/>
      <c r="H79" s="98"/>
    </row>
    <row r="80" spans="1:11" x14ac:dyDescent="0.25">
      <c r="A80" s="100" t="s">
        <v>2</v>
      </c>
      <c r="B80" s="103" t="s">
        <v>30</v>
      </c>
      <c r="C80" s="104"/>
      <c r="D80" s="104"/>
      <c r="E80" s="104"/>
      <c r="F80" s="104"/>
      <c r="G80" s="105" t="s">
        <v>3</v>
      </c>
      <c r="H80" s="106"/>
    </row>
    <row r="81" spans="1:9" ht="135.75" thickBot="1" x14ac:dyDescent="0.3">
      <c r="A81" s="124"/>
      <c r="B81" s="105" t="s">
        <v>30</v>
      </c>
      <c r="C81" s="105"/>
      <c r="D81" s="15" t="s">
        <v>32</v>
      </c>
      <c r="E81" s="105" t="s">
        <v>4</v>
      </c>
      <c r="F81" s="105"/>
      <c r="G81" s="125"/>
      <c r="H81" s="109"/>
    </row>
    <row r="82" spans="1:9" ht="165.75" thickBot="1" x14ac:dyDescent="0.3">
      <c r="A82" s="102"/>
      <c r="B82" s="14" t="s">
        <v>36</v>
      </c>
      <c r="C82" s="69" t="s">
        <v>5</v>
      </c>
      <c r="D82" s="15" t="s">
        <v>33</v>
      </c>
      <c r="E82" s="69" t="s">
        <v>34</v>
      </c>
      <c r="F82" s="72" t="s">
        <v>35</v>
      </c>
      <c r="G82" s="110"/>
      <c r="H82" s="111"/>
    </row>
    <row r="83" spans="1:9" ht="15.75" thickBot="1" x14ac:dyDescent="0.3">
      <c r="A83" s="68">
        <v>1</v>
      </c>
      <c r="B83" s="72">
        <v>2</v>
      </c>
      <c r="C83" s="11">
        <v>3</v>
      </c>
      <c r="D83" s="72">
        <v>4</v>
      </c>
      <c r="E83" s="11">
        <v>5</v>
      </c>
      <c r="F83" s="72">
        <v>6</v>
      </c>
      <c r="G83" s="96" t="s">
        <v>6</v>
      </c>
      <c r="H83" s="97"/>
    </row>
    <row r="84" spans="1:9" ht="60.75" thickBot="1" x14ac:dyDescent="0.3">
      <c r="A84" s="2" t="s">
        <v>7</v>
      </c>
      <c r="B84" s="6">
        <f>B85</f>
        <v>50666</v>
      </c>
      <c r="C84" s="12"/>
      <c r="D84" s="6">
        <f>D85</f>
        <v>15134</v>
      </c>
      <c r="E84" s="8" t="s">
        <v>8</v>
      </c>
      <c r="F84" s="8" t="s">
        <v>8</v>
      </c>
      <c r="G84" s="90">
        <f>54034-424-600+6183+1160+2273+268+2906</f>
        <v>65800</v>
      </c>
      <c r="H84" s="91"/>
    </row>
    <row r="85" spans="1:9" ht="15.75" thickBot="1" x14ac:dyDescent="0.3">
      <c r="A85" s="3" t="s">
        <v>9</v>
      </c>
      <c r="B85" s="6">
        <f>G85*77%</f>
        <v>50666</v>
      </c>
      <c r="C85" s="12"/>
      <c r="D85" s="70">
        <f>G85-B85</f>
        <v>15134</v>
      </c>
      <c r="E85" s="8" t="s">
        <v>8</v>
      </c>
      <c r="F85" s="8" t="s">
        <v>8</v>
      </c>
      <c r="G85" s="90">
        <f>G84</f>
        <v>65800</v>
      </c>
      <c r="H85" s="91"/>
    </row>
    <row r="86" spans="1:9" ht="15.75" thickBot="1" x14ac:dyDescent="0.3">
      <c r="A86" s="2" t="s">
        <v>10</v>
      </c>
      <c r="B86" s="6">
        <v>0</v>
      </c>
      <c r="C86" s="12"/>
      <c r="D86" s="6">
        <v>0</v>
      </c>
      <c r="E86" s="8" t="s">
        <v>8</v>
      </c>
      <c r="F86" s="8" t="s">
        <v>8</v>
      </c>
      <c r="G86" s="90">
        <v>0</v>
      </c>
      <c r="H86" s="91"/>
    </row>
    <row r="87" spans="1:9" ht="60.75" thickBot="1" x14ac:dyDescent="0.3">
      <c r="A87" s="2" t="s">
        <v>11</v>
      </c>
      <c r="B87" s="6">
        <f t="shared" ref="B87" si="2">G87*77%</f>
        <v>23871.54</v>
      </c>
      <c r="C87" s="12"/>
      <c r="D87" s="70">
        <f>G87-B87</f>
        <v>7130.4599999999991</v>
      </c>
      <c r="E87" s="8" t="s">
        <v>8</v>
      </c>
      <c r="F87" s="8" t="s">
        <v>8</v>
      </c>
      <c r="G87" s="90">
        <f>26281-216-81+2970+635+11+131+1271</f>
        <v>31002</v>
      </c>
      <c r="H87" s="91"/>
    </row>
    <row r="88" spans="1:9" ht="30.75" thickBot="1" x14ac:dyDescent="0.3">
      <c r="A88" s="2" t="s">
        <v>12</v>
      </c>
      <c r="B88" s="6">
        <f>G88*77%</f>
        <v>1017.1700000000001</v>
      </c>
      <c r="C88" s="12"/>
      <c r="D88" s="70">
        <f>G88-B88</f>
        <v>303.82999999999993</v>
      </c>
      <c r="E88" s="8" t="s">
        <v>8</v>
      </c>
      <c r="F88" s="8" t="s">
        <v>8</v>
      </c>
      <c r="G88" s="90">
        <f>216+81+424+600</f>
        <v>1321</v>
      </c>
      <c r="H88" s="91"/>
      <c r="I88" s="10">
        <f>G88+G87+G85</f>
        <v>98123</v>
      </c>
    </row>
    <row r="89" spans="1:9" ht="15.75" thickBot="1" x14ac:dyDescent="0.3">
      <c r="A89" s="2" t="s">
        <v>13</v>
      </c>
      <c r="B89" s="6">
        <f>G89*56%</f>
        <v>2887.92</v>
      </c>
      <c r="C89" s="6"/>
      <c r="D89" s="70">
        <f>G89-B89</f>
        <v>2269.08</v>
      </c>
      <c r="E89" s="8" t="s">
        <v>8</v>
      </c>
      <c r="F89" s="8" t="s">
        <v>8</v>
      </c>
      <c r="G89" s="90">
        <f>36+5121</f>
        <v>5157</v>
      </c>
      <c r="H89" s="91"/>
    </row>
    <row r="90" spans="1:9" ht="30.75" thickBot="1" x14ac:dyDescent="0.3">
      <c r="A90" s="2" t="s">
        <v>14</v>
      </c>
      <c r="B90" s="6">
        <f>G90*56%</f>
        <v>1215.2</v>
      </c>
      <c r="C90" s="6"/>
      <c r="D90" s="70">
        <f>G90-B90</f>
        <v>954.8</v>
      </c>
      <c r="E90" s="8" t="s">
        <v>8</v>
      </c>
      <c r="F90" s="8" t="s">
        <v>8</v>
      </c>
      <c r="G90" s="90">
        <f>1274+668+228</f>
        <v>2170</v>
      </c>
      <c r="H90" s="91"/>
    </row>
    <row r="91" spans="1:9" ht="45.75" thickBot="1" x14ac:dyDescent="0.3">
      <c r="A91" s="2" t="s">
        <v>15</v>
      </c>
      <c r="B91" s="8" t="s">
        <v>8</v>
      </c>
      <c r="C91" s="8" t="s">
        <v>8</v>
      </c>
      <c r="D91" s="6"/>
      <c r="E91" s="8" t="s">
        <v>8</v>
      </c>
      <c r="F91" s="8" t="s">
        <v>8</v>
      </c>
      <c r="G91" s="90"/>
      <c r="H91" s="91"/>
    </row>
    <row r="92" spans="1:9" ht="15.75" thickBot="1" x14ac:dyDescent="0.3">
      <c r="A92" s="2" t="s">
        <v>16</v>
      </c>
      <c r="B92" s="8" t="s">
        <v>8</v>
      </c>
      <c r="C92" s="8" t="s">
        <v>8</v>
      </c>
      <c r="D92" s="12"/>
      <c r="E92" s="6">
        <v>0</v>
      </c>
      <c r="F92" s="6"/>
      <c r="G92" s="90">
        <v>0</v>
      </c>
      <c r="H92" s="91"/>
    </row>
    <row r="93" spans="1:9" ht="15.75" thickBot="1" x14ac:dyDescent="0.3">
      <c r="A93" s="3" t="s">
        <v>17</v>
      </c>
      <c r="B93" s="6">
        <f>G93*56%</f>
        <v>719.6</v>
      </c>
      <c r="C93" s="8"/>
      <c r="D93" s="6"/>
      <c r="E93" s="6">
        <f>G93-B93</f>
        <v>565.4</v>
      </c>
      <c r="F93" s="6"/>
      <c r="G93" s="90">
        <v>1285</v>
      </c>
      <c r="H93" s="91"/>
    </row>
    <row r="94" spans="1:9" ht="15.75" thickBot="1" x14ac:dyDescent="0.3">
      <c r="A94" s="3" t="s">
        <v>18</v>
      </c>
      <c r="B94" s="6"/>
      <c r="C94" s="8"/>
      <c r="D94" s="8"/>
      <c r="E94" s="6"/>
      <c r="F94" s="6"/>
      <c r="G94" s="90"/>
      <c r="H94" s="91"/>
    </row>
    <row r="95" spans="1:9" ht="45.75" thickBot="1" x14ac:dyDescent="0.3">
      <c r="A95" s="2" t="s">
        <v>19</v>
      </c>
      <c r="B95" s="6"/>
      <c r="C95" s="8"/>
      <c r="D95" s="6"/>
      <c r="E95" s="6"/>
      <c r="F95" s="6"/>
      <c r="G95" s="94"/>
      <c r="H95" s="95"/>
    </row>
    <row r="96" spans="1:9" ht="30.75" thickBot="1" x14ac:dyDescent="0.3">
      <c r="A96" s="2" t="s">
        <v>20</v>
      </c>
      <c r="B96" s="6"/>
      <c r="C96" s="8"/>
      <c r="D96" s="6"/>
      <c r="E96" s="6">
        <v>21247</v>
      </c>
      <c r="F96" s="6"/>
      <c r="G96" s="90">
        <v>21247</v>
      </c>
      <c r="H96" s="91"/>
    </row>
    <row r="97" spans="1:11" ht="30.75" thickBot="1" x14ac:dyDescent="0.3">
      <c r="A97" s="2" t="s">
        <v>21</v>
      </c>
      <c r="B97" s="6">
        <f>G97*56%</f>
        <v>8475.6</v>
      </c>
      <c r="C97" s="6"/>
      <c r="D97" s="70">
        <f>G97-B97</f>
        <v>6659.4</v>
      </c>
      <c r="E97" s="8" t="s">
        <v>8</v>
      </c>
      <c r="F97" s="8" t="s">
        <v>8</v>
      </c>
      <c r="G97" s="90">
        <f>16420-G93</f>
        <v>15135</v>
      </c>
      <c r="H97" s="91"/>
    </row>
    <row r="98" spans="1:11" ht="15.75" thickBot="1" x14ac:dyDescent="0.3">
      <c r="A98" s="3" t="s">
        <v>22</v>
      </c>
      <c r="B98" s="6">
        <f>G98*56%</f>
        <v>12594.960000000001</v>
      </c>
      <c r="C98" s="6"/>
      <c r="D98" s="70">
        <f>G98-B98</f>
        <v>9896.0399999999991</v>
      </c>
      <c r="E98" s="8" t="s">
        <v>8</v>
      </c>
      <c r="F98" s="8" t="s">
        <v>8</v>
      </c>
      <c r="G98" s="90">
        <f>1403+4249+2511+14328</f>
        <v>22491</v>
      </c>
      <c r="H98" s="91"/>
    </row>
    <row r="99" spans="1:11" ht="15.75" thickBot="1" x14ac:dyDescent="0.3">
      <c r="A99" s="3" t="s">
        <v>23</v>
      </c>
      <c r="B99" s="8" t="s">
        <v>8</v>
      </c>
      <c r="C99" s="12"/>
      <c r="D99" s="8" t="s">
        <v>8</v>
      </c>
      <c r="E99" s="8" t="s">
        <v>8</v>
      </c>
      <c r="F99" s="8" t="s">
        <v>8</v>
      </c>
      <c r="G99" s="94"/>
      <c r="H99" s="95"/>
    </row>
    <row r="100" spans="1:11" ht="15.75" thickBot="1" x14ac:dyDescent="0.3">
      <c r="A100" s="3" t="s">
        <v>24</v>
      </c>
      <c r="B100" s="6"/>
      <c r="C100" s="6"/>
      <c r="D100" s="6"/>
      <c r="E100" s="8" t="s">
        <v>8</v>
      </c>
      <c r="F100" s="8" t="s">
        <v>8</v>
      </c>
      <c r="G100" s="90"/>
      <c r="H100" s="91"/>
    </row>
    <row r="101" spans="1:11" ht="15.75" thickBot="1" x14ac:dyDescent="0.3">
      <c r="A101" s="4" t="s">
        <v>25</v>
      </c>
      <c r="B101" s="6">
        <f>SUM(B85:B100)</f>
        <v>101447.99000000002</v>
      </c>
      <c r="C101" s="6"/>
      <c r="D101" s="6">
        <f>SUM(D85:D100)</f>
        <v>42347.61</v>
      </c>
      <c r="E101" s="6">
        <f>SUM(E85:E100)</f>
        <v>21812.400000000001</v>
      </c>
      <c r="F101" s="6"/>
      <c r="G101" s="90">
        <f>SUM(G85:H100)</f>
        <v>165608</v>
      </c>
      <c r="H101" s="91"/>
    </row>
    <row r="102" spans="1:11" x14ac:dyDescent="0.25">
      <c r="A102" s="92" t="s">
        <v>26</v>
      </c>
      <c r="B102" s="92"/>
      <c r="C102" s="92"/>
      <c r="D102" s="92"/>
      <c r="E102" s="92"/>
      <c r="F102" s="92"/>
      <c r="G102" s="92"/>
      <c r="H102" s="92"/>
    </row>
    <row r="103" spans="1:11" x14ac:dyDescent="0.25">
      <c r="A103" s="93" t="s">
        <v>27</v>
      </c>
      <c r="B103" s="93"/>
      <c r="C103" s="93"/>
      <c r="D103" s="93"/>
      <c r="E103" s="93"/>
      <c r="F103" s="93"/>
      <c r="G103" s="93"/>
      <c r="H103" s="93"/>
    </row>
    <row r="104" spans="1:11" x14ac:dyDescent="0.25">
      <c r="A104" s="93" t="s">
        <v>28</v>
      </c>
      <c r="B104" s="93"/>
      <c r="C104" s="93"/>
      <c r="D104" s="93"/>
      <c r="E104" s="93"/>
      <c r="F104" s="93"/>
      <c r="G104" s="93"/>
      <c r="H104" s="93"/>
      <c r="K104" s="10" t="e">
        <f>G672-G667</f>
        <v>#VALUE!</v>
      </c>
    </row>
    <row r="105" spans="1:11" x14ac:dyDescent="0.25">
      <c r="K105" s="10" t="e">
        <f>K104-244898</f>
        <v>#VALUE!</v>
      </c>
    </row>
    <row r="106" spans="1:11" x14ac:dyDescent="0.25">
      <c r="B106" s="10" t="s">
        <v>195</v>
      </c>
      <c r="C106" s="10">
        <v>87525</v>
      </c>
    </row>
    <row r="107" spans="1:11" x14ac:dyDescent="0.25">
      <c r="C107" s="10">
        <f>C106-B101</f>
        <v>-13922.99000000002</v>
      </c>
    </row>
    <row r="120" spans="1:8" x14ac:dyDescent="0.25">
      <c r="A120" s="65"/>
      <c r="B120" s="66"/>
      <c r="C120" s="66"/>
      <c r="D120" s="66"/>
      <c r="E120" s="112" t="s">
        <v>29</v>
      </c>
      <c r="F120" s="112"/>
      <c r="G120" s="112"/>
      <c r="H120" s="112"/>
    </row>
    <row r="121" spans="1:8" x14ac:dyDescent="0.25">
      <c r="A121" s="113"/>
      <c r="B121" s="114"/>
      <c r="C121" s="114"/>
      <c r="D121" s="115"/>
      <c r="E121" s="115" t="s">
        <v>0</v>
      </c>
      <c r="F121" s="115"/>
      <c r="G121" s="115"/>
      <c r="H121" s="115"/>
    </row>
    <row r="122" spans="1:8" x14ac:dyDescent="0.25">
      <c r="A122" s="113"/>
      <c r="B122" s="114"/>
      <c r="C122" s="114"/>
      <c r="D122" s="115"/>
      <c r="E122" s="128" t="s">
        <v>31</v>
      </c>
      <c r="F122" s="115"/>
      <c r="G122" s="115"/>
      <c r="H122" s="115"/>
    </row>
    <row r="123" spans="1:8" ht="15.75" thickBot="1" x14ac:dyDescent="0.3">
      <c r="A123" s="98" t="s">
        <v>196</v>
      </c>
      <c r="B123" s="98"/>
      <c r="C123" s="98"/>
      <c r="D123" s="98"/>
      <c r="E123" s="98"/>
      <c r="F123" s="98"/>
      <c r="G123" s="98"/>
      <c r="H123" s="98"/>
    </row>
    <row r="124" spans="1:8" x14ac:dyDescent="0.25">
      <c r="A124" s="100" t="s">
        <v>2</v>
      </c>
      <c r="B124" s="103" t="s">
        <v>30</v>
      </c>
      <c r="C124" s="104"/>
      <c r="D124" s="104"/>
      <c r="E124" s="104"/>
      <c r="F124" s="104"/>
      <c r="G124" s="105" t="s">
        <v>3</v>
      </c>
      <c r="H124" s="106"/>
    </row>
    <row r="125" spans="1:8" ht="135.75" thickBot="1" x14ac:dyDescent="0.3">
      <c r="A125" s="124"/>
      <c r="B125" s="105" t="s">
        <v>30</v>
      </c>
      <c r="C125" s="105"/>
      <c r="D125" s="15" t="s">
        <v>32</v>
      </c>
      <c r="E125" s="105" t="s">
        <v>4</v>
      </c>
      <c r="F125" s="105"/>
      <c r="G125" s="125"/>
      <c r="H125" s="109"/>
    </row>
    <row r="126" spans="1:8" ht="165.75" thickBot="1" x14ac:dyDescent="0.3">
      <c r="A126" s="102"/>
      <c r="B126" s="14" t="s">
        <v>36</v>
      </c>
      <c r="C126" s="69" t="s">
        <v>5</v>
      </c>
      <c r="D126" s="15" t="s">
        <v>33</v>
      </c>
      <c r="E126" s="69" t="s">
        <v>34</v>
      </c>
      <c r="F126" s="72" t="s">
        <v>35</v>
      </c>
      <c r="G126" s="110"/>
      <c r="H126" s="111"/>
    </row>
    <row r="127" spans="1:8" ht="15.75" thickBot="1" x14ac:dyDescent="0.3">
      <c r="A127" s="68">
        <v>1</v>
      </c>
      <c r="B127" s="72">
        <v>2</v>
      </c>
      <c r="C127" s="11">
        <v>3</v>
      </c>
      <c r="D127" s="72">
        <v>4</v>
      </c>
      <c r="E127" s="11">
        <v>5</v>
      </c>
      <c r="F127" s="72">
        <v>6</v>
      </c>
      <c r="G127" s="96" t="s">
        <v>6</v>
      </c>
      <c r="H127" s="97"/>
    </row>
    <row r="128" spans="1:8" ht="60.75" thickBot="1" x14ac:dyDescent="0.3">
      <c r="A128" s="2" t="s">
        <v>7</v>
      </c>
      <c r="B128" s="6">
        <f>B129</f>
        <v>67718.42</v>
      </c>
      <c r="C128" s="12"/>
      <c r="D128" s="6">
        <f>D129</f>
        <v>20227.580000000002</v>
      </c>
      <c r="E128" s="8" t="s">
        <v>8</v>
      </c>
      <c r="F128" s="8" t="s">
        <v>8</v>
      </c>
      <c r="G128" s="90">
        <f>72410-558-629-327+8251+1546+3033+357+3863</f>
        <v>87946</v>
      </c>
      <c r="H128" s="91"/>
    </row>
    <row r="129" spans="1:9" ht="15.75" thickBot="1" x14ac:dyDescent="0.3">
      <c r="A129" s="3" t="s">
        <v>9</v>
      </c>
      <c r="B129" s="6">
        <f>G129*77%</f>
        <v>67718.42</v>
      </c>
      <c r="C129" s="12"/>
      <c r="D129" s="70">
        <f>G129-B129</f>
        <v>20227.580000000002</v>
      </c>
      <c r="E129" s="8" t="s">
        <v>8</v>
      </c>
      <c r="F129" s="8" t="s">
        <v>8</v>
      </c>
      <c r="G129" s="90">
        <f>G128</f>
        <v>87946</v>
      </c>
      <c r="H129" s="91"/>
    </row>
    <row r="130" spans="1:9" ht="15.75" thickBot="1" x14ac:dyDescent="0.3">
      <c r="A130" s="2" t="s">
        <v>10</v>
      </c>
      <c r="B130" s="6">
        <v>0</v>
      </c>
      <c r="C130" s="12"/>
      <c r="D130" s="6">
        <v>0</v>
      </c>
      <c r="E130" s="8" t="s">
        <v>8</v>
      </c>
      <c r="F130" s="8" t="s">
        <v>8</v>
      </c>
      <c r="G130" s="90">
        <v>0</v>
      </c>
      <c r="H130" s="91"/>
    </row>
    <row r="131" spans="1:9" ht="60.75" thickBot="1" x14ac:dyDescent="0.3">
      <c r="A131" s="2" t="s">
        <v>11</v>
      </c>
      <c r="B131" s="6">
        <f t="shared" ref="B131" si="3">G131*77%</f>
        <v>32285.33</v>
      </c>
      <c r="C131" s="12"/>
      <c r="D131" s="70">
        <f>G131-B131</f>
        <v>9643.6699999999983</v>
      </c>
      <c r="E131" s="8" t="s">
        <v>8</v>
      </c>
      <c r="F131" s="8" t="s">
        <v>8</v>
      </c>
      <c r="G131" s="90">
        <f>35498-280-81+4022+848+13+177+1732</f>
        <v>41929</v>
      </c>
      <c r="H131" s="91"/>
    </row>
    <row r="132" spans="1:9" ht="30.75" thickBot="1" x14ac:dyDescent="0.3">
      <c r="A132" s="2" t="s">
        <v>12</v>
      </c>
      <c r="B132" s="6">
        <f>G132*77%</f>
        <v>1443.75</v>
      </c>
      <c r="C132" s="12"/>
      <c r="D132" s="70">
        <f>G132-B132</f>
        <v>431.25</v>
      </c>
      <c r="E132" s="8" t="s">
        <v>8</v>
      </c>
      <c r="F132" s="8" t="s">
        <v>8</v>
      </c>
      <c r="G132" s="90">
        <f>558+629+327+280+81</f>
        <v>1875</v>
      </c>
      <c r="H132" s="91"/>
      <c r="I132" s="10">
        <f>G129+G131+G132</f>
        <v>131750</v>
      </c>
    </row>
    <row r="133" spans="1:9" ht="15.75" thickBot="1" x14ac:dyDescent="0.3">
      <c r="A133" s="2" t="s">
        <v>13</v>
      </c>
      <c r="B133" s="6">
        <f>G133*56%</f>
        <v>3113.6000000000004</v>
      </c>
      <c r="C133" s="6"/>
      <c r="D133" s="70">
        <f>G133-B133</f>
        <v>2446.3999999999996</v>
      </c>
      <c r="E133" s="8" t="s">
        <v>8</v>
      </c>
      <c r="F133" s="8" t="s">
        <v>8</v>
      </c>
      <c r="G133" s="90">
        <f>439+5121</f>
        <v>5560</v>
      </c>
      <c r="H133" s="91"/>
    </row>
    <row r="134" spans="1:9" ht="30.75" thickBot="1" x14ac:dyDescent="0.3">
      <c r="A134" s="2" t="s">
        <v>14</v>
      </c>
      <c r="B134" s="6">
        <f>G134*56%</f>
        <v>3202.6400000000003</v>
      </c>
      <c r="C134" s="6"/>
      <c r="D134" s="70">
        <f>G134-B134</f>
        <v>2516.3599999999997</v>
      </c>
      <c r="E134" s="8" t="s">
        <v>8</v>
      </c>
      <c r="F134" s="8" t="s">
        <v>8</v>
      </c>
      <c r="G134" s="90">
        <f>11279-G133</f>
        <v>5719</v>
      </c>
      <c r="H134" s="91"/>
    </row>
    <row r="135" spans="1:9" ht="45.75" thickBot="1" x14ac:dyDescent="0.3">
      <c r="A135" s="2" t="s">
        <v>15</v>
      </c>
      <c r="B135" s="8" t="s">
        <v>8</v>
      </c>
      <c r="C135" s="8" t="s">
        <v>8</v>
      </c>
      <c r="D135" s="6"/>
      <c r="E135" s="8" t="s">
        <v>8</v>
      </c>
      <c r="F135" s="8" t="s">
        <v>8</v>
      </c>
      <c r="G135" s="90"/>
      <c r="H135" s="91"/>
    </row>
    <row r="136" spans="1:9" ht="15.75" thickBot="1" x14ac:dyDescent="0.3">
      <c r="A136" s="2" t="s">
        <v>16</v>
      </c>
      <c r="B136" s="8" t="s">
        <v>8</v>
      </c>
      <c r="C136" s="8" t="s">
        <v>8</v>
      </c>
      <c r="D136" s="12"/>
      <c r="E136" s="6">
        <v>0</v>
      </c>
      <c r="F136" s="6"/>
      <c r="G136" s="90">
        <v>0</v>
      </c>
      <c r="H136" s="91"/>
    </row>
    <row r="137" spans="1:9" ht="15.75" thickBot="1" x14ac:dyDescent="0.3">
      <c r="A137" s="3" t="s">
        <v>17</v>
      </c>
      <c r="B137" s="6">
        <f>G137*56%</f>
        <v>719.6</v>
      </c>
      <c r="C137" s="8"/>
      <c r="D137" s="6"/>
      <c r="E137" s="6">
        <f>G137-B137</f>
        <v>565.4</v>
      </c>
      <c r="F137" s="6"/>
      <c r="G137" s="90">
        <v>1285</v>
      </c>
      <c r="H137" s="91"/>
    </row>
    <row r="138" spans="1:9" ht="15.75" thickBot="1" x14ac:dyDescent="0.3">
      <c r="A138" s="3" t="s">
        <v>18</v>
      </c>
      <c r="B138" s="6"/>
      <c r="C138" s="8"/>
      <c r="D138" s="8"/>
      <c r="E138" s="6"/>
      <c r="F138" s="6"/>
      <c r="G138" s="90"/>
      <c r="H138" s="91"/>
    </row>
    <row r="139" spans="1:9" ht="45.75" thickBot="1" x14ac:dyDescent="0.3">
      <c r="A139" s="2" t="s">
        <v>19</v>
      </c>
      <c r="B139" s="6"/>
      <c r="C139" s="8"/>
      <c r="D139" s="6"/>
      <c r="E139" s="6"/>
      <c r="F139" s="6"/>
      <c r="G139" s="94"/>
      <c r="H139" s="95"/>
    </row>
    <row r="140" spans="1:9" ht="30.75" thickBot="1" x14ac:dyDescent="0.3">
      <c r="A140" s="2" t="s">
        <v>20</v>
      </c>
      <c r="B140" s="6"/>
      <c r="C140" s="8"/>
      <c r="D140" s="6"/>
      <c r="E140" s="6">
        <v>28460</v>
      </c>
      <c r="F140" s="6"/>
      <c r="G140" s="90">
        <v>28460</v>
      </c>
      <c r="H140" s="91"/>
    </row>
    <row r="141" spans="1:9" ht="30.75" thickBot="1" x14ac:dyDescent="0.3">
      <c r="A141" s="2" t="s">
        <v>21</v>
      </c>
      <c r="B141" s="6">
        <f>G141*56%</f>
        <v>10104.080000000002</v>
      </c>
      <c r="C141" s="6"/>
      <c r="D141" s="70">
        <f>G141-B141</f>
        <v>7938.9199999999983</v>
      </c>
      <c r="E141" s="8" t="s">
        <v>8</v>
      </c>
      <c r="F141" s="8" t="s">
        <v>8</v>
      </c>
      <c r="G141" s="90">
        <f>19328-G137</f>
        <v>18043</v>
      </c>
      <c r="H141" s="91"/>
    </row>
    <row r="142" spans="1:9" ht="15.75" thickBot="1" x14ac:dyDescent="0.3">
      <c r="A142" s="3" t="s">
        <v>22</v>
      </c>
      <c r="B142" s="6">
        <f>G142*56%</f>
        <v>13561.52</v>
      </c>
      <c r="C142" s="6"/>
      <c r="D142" s="70">
        <f>G142-B142</f>
        <v>10655.48</v>
      </c>
      <c r="E142" s="8" t="s">
        <v>8</v>
      </c>
      <c r="F142" s="8" t="s">
        <v>8</v>
      </c>
      <c r="G142" s="90">
        <f>1417+14328+5668+2804</f>
        <v>24217</v>
      </c>
      <c r="H142" s="91"/>
    </row>
    <row r="143" spans="1:9" ht="15.75" thickBot="1" x14ac:dyDescent="0.3">
      <c r="A143" s="3" t="s">
        <v>23</v>
      </c>
      <c r="B143" s="8" t="s">
        <v>8</v>
      </c>
      <c r="C143" s="12"/>
      <c r="D143" s="8" t="s">
        <v>8</v>
      </c>
      <c r="E143" s="8" t="s">
        <v>8</v>
      </c>
      <c r="F143" s="8" t="s">
        <v>8</v>
      </c>
      <c r="G143" s="94"/>
      <c r="H143" s="95"/>
    </row>
    <row r="144" spans="1:9" ht="15.75" thickBot="1" x14ac:dyDescent="0.3">
      <c r="A144" s="3" t="s">
        <v>24</v>
      </c>
      <c r="B144" s="6"/>
      <c r="C144" s="6"/>
      <c r="D144" s="6"/>
      <c r="E144" s="8" t="s">
        <v>8</v>
      </c>
      <c r="F144" s="8" t="s">
        <v>8</v>
      </c>
      <c r="G144" s="90"/>
      <c r="H144" s="91"/>
    </row>
    <row r="145" spans="1:11" ht="15.75" thickBot="1" x14ac:dyDescent="0.3">
      <c r="A145" s="4" t="s">
        <v>25</v>
      </c>
      <c r="B145" s="6">
        <f>SUM(B129:B144)</f>
        <v>132148.94</v>
      </c>
      <c r="C145" s="6"/>
      <c r="D145" s="6">
        <f>SUM(D129:D144)</f>
        <v>53859.66</v>
      </c>
      <c r="E145" s="6">
        <f>SUM(E129:E144)</f>
        <v>29025.4</v>
      </c>
      <c r="F145" s="6"/>
      <c r="G145" s="90">
        <f>SUM(G129:H144)</f>
        <v>215034</v>
      </c>
      <c r="H145" s="91"/>
      <c r="I145" s="10">
        <f>143191-G145</f>
        <v>-71843</v>
      </c>
    </row>
    <row r="146" spans="1:11" x14ac:dyDescent="0.25">
      <c r="A146" s="92" t="s">
        <v>26</v>
      </c>
      <c r="B146" s="92"/>
      <c r="C146" s="92"/>
      <c r="D146" s="92"/>
      <c r="E146" s="92"/>
      <c r="F146" s="92"/>
      <c r="G146" s="92"/>
      <c r="H146" s="92"/>
    </row>
    <row r="147" spans="1:11" x14ac:dyDescent="0.25">
      <c r="A147" s="93" t="s">
        <v>27</v>
      </c>
      <c r="B147" s="93"/>
      <c r="C147" s="93"/>
      <c r="D147" s="93"/>
      <c r="E147" s="93"/>
      <c r="F147" s="93"/>
      <c r="G147" s="93"/>
      <c r="H147" s="93"/>
    </row>
    <row r="148" spans="1:11" x14ac:dyDescent="0.25">
      <c r="A148" s="93" t="s">
        <v>28</v>
      </c>
      <c r="B148" s="93"/>
      <c r="C148" s="93"/>
      <c r="D148" s="93"/>
      <c r="E148" s="93"/>
      <c r="F148" s="93"/>
      <c r="G148" s="93"/>
      <c r="H148" s="93"/>
      <c r="K148" s="10">
        <f>G575-G570</f>
        <v>263164</v>
      </c>
    </row>
    <row r="149" spans="1:11" x14ac:dyDescent="0.25">
      <c r="B149" s="10" t="s">
        <v>197</v>
      </c>
      <c r="C149" s="10">
        <v>121876</v>
      </c>
      <c r="K149" s="10">
        <f>K148-244898</f>
        <v>18266</v>
      </c>
    </row>
    <row r="150" spans="1:11" x14ac:dyDescent="0.25">
      <c r="C150" s="10">
        <f>C149-B145</f>
        <v>-10272.940000000002</v>
      </c>
    </row>
    <row r="155" spans="1:11" x14ac:dyDescent="0.25">
      <c r="A155" s="65"/>
      <c r="B155" s="66"/>
      <c r="C155" s="66"/>
      <c r="D155" s="66"/>
      <c r="E155" s="112" t="s">
        <v>29</v>
      </c>
      <c r="F155" s="112"/>
      <c r="G155" s="112"/>
      <c r="H155" s="112"/>
    </row>
    <row r="156" spans="1:11" x14ac:dyDescent="0.25">
      <c r="A156" s="113"/>
      <c r="B156" s="114"/>
      <c r="C156" s="114"/>
      <c r="D156" s="115"/>
      <c r="E156" s="115" t="s">
        <v>0</v>
      </c>
      <c r="F156" s="115"/>
      <c r="G156" s="115"/>
      <c r="H156" s="115"/>
    </row>
    <row r="157" spans="1:11" x14ac:dyDescent="0.25">
      <c r="A157" s="113"/>
      <c r="B157" s="114"/>
      <c r="C157" s="114"/>
      <c r="D157" s="115"/>
      <c r="E157" s="128" t="s">
        <v>31</v>
      </c>
      <c r="F157" s="115"/>
      <c r="G157" s="115"/>
      <c r="H157" s="115"/>
    </row>
    <row r="158" spans="1:11" ht="15.75" thickBot="1" x14ac:dyDescent="0.3">
      <c r="A158" s="98" t="s">
        <v>198</v>
      </c>
      <c r="B158" s="98"/>
      <c r="C158" s="98"/>
      <c r="D158" s="98"/>
      <c r="E158" s="98"/>
      <c r="F158" s="98"/>
      <c r="G158" s="98"/>
      <c r="H158" s="98"/>
    </row>
    <row r="159" spans="1:11" x14ac:dyDescent="0.25">
      <c r="A159" s="100" t="s">
        <v>2</v>
      </c>
      <c r="B159" s="103" t="s">
        <v>30</v>
      </c>
      <c r="C159" s="104"/>
      <c r="D159" s="104"/>
      <c r="E159" s="104"/>
      <c r="F159" s="104"/>
      <c r="G159" s="105" t="s">
        <v>3</v>
      </c>
      <c r="H159" s="106"/>
    </row>
    <row r="160" spans="1:11" ht="135.75" thickBot="1" x14ac:dyDescent="0.3">
      <c r="A160" s="124"/>
      <c r="B160" s="105" t="s">
        <v>30</v>
      </c>
      <c r="C160" s="105"/>
      <c r="D160" s="15" t="s">
        <v>32</v>
      </c>
      <c r="E160" s="105" t="s">
        <v>4</v>
      </c>
      <c r="F160" s="105"/>
      <c r="G160" s="125"/>
      <c r="H160" s="109"/>
    </row>
    <row r="161" spans="1:9" ht="165.75" thickBot="1" x14ac:dyDescent="0.3">
      <c r="A161" s="102"/>
      <c r="B161" s="14" t="s">
        <v>36</v>
      </c>
      <c r="C161" s="69" t="s">
        <v>5</v>
      </c>
      <c r="D161" s="15" t="s">
        <v>33</v>
      </c>
      <c r="E161" s="69" t="s">
        <v>34</v>
      </c>
      <c r="F161" s="72" t="s">
        <v>35</v>
      </c>
      <c r="G161" s="110"/>
      <c r="H161" s="111"/>
    </row>
    <row r="162" spans="1:9" ht="15.75" thickBot="1" x14ac:dyDescent="0.3">
      <c r="A162" s="68">
        <v>1</v>
      </c>
      <c r="B162" s="72">
        <v>2</v>
      </c>
      <c r="C162" s="11">
        <v>3</v>
      </c>
      <c r="D162" s="72">
        <v>4</v>
      </c>
      <c r="E162" s="11">
        <v>5</v>
      </c>
      <c r="F162" s="72">
        <v>6</v>
      </c>
      <c r="G162" s="96" t="s">
        <v>6</v>
      </c>
      <c r="H162" s="97"/>
    </row>
    <row r="163" spans="1:9" ht="60.75" thickBot="1" x14ac:dyDescent="0.3">
      <c r="A163" s="2" t="s">
        <v>7</v>
      </c>
      <c r="B163" s="6">
        <f>B164</f>
        <v>84181.02</v>
      </c>
      <c r="C163" s="12"/>
      <c r="D163" s="6">
        <f>D164</f>
        <v>25144.979999999996</v>
      </c>
      <c r="E163" s="8" t="s">
        <v>8</v>
      </c>
      <c r="F163" s="8" t="s">
        <v>8</v>
      </c>
      <c r="G163" s="90">
        <f>90007-708-856-327+10274+1919+3776+444+4797</f>
        <v>109326</v>
      </c>
      <c r="H163" s="91"/>
    </row>
    <row r="164" spans="1:9" ht="15.75" thickBot="1" x14ac:dyDescent="0.3">
      <c r="A164" s="3" t="s">
        <v>9</v>
      </c>
      <c r="B164" s="6">
        <f>G164*77%</f>
        <v>84181.02</v>
      </c>
      <c r="C164" s="12"/>
      <c r="D164" s="70">
        <f>G164-B164</f>
        <v>25144.979999999996</v>
      </c>
      <c r="E164" s="8" t="s">
        <v>8</v>
      </c>
      <c r="F164" s="8" t="s">
        <v>8</v>
      </c>
      <c r="G164" s="90">
        <f>G163</f>
        <v>109326</v>
      </c>
      <c r="H164" s="91"/>
    </row>
    <row r="165" spans="1:9" ht="15.75" thickBot="1" x14ac:dyDescent="0.3">
      <c r="A165" s="2" t="s">
        <v>10</v>
      </c>
      <c r="B165" s="6">
        <v>0</v>
      </c>
      <c r="C165" s="12"/>
      <c r="D165" s="6">
        <v>0</v>
      </c>
      <c r="E165" s="8" t="s">
        <v>8</v>
      </c>
      <c r="F165" s="8" t="s">
        <v>8</v>
      </c>
      <c r="G165" s="90">
        <v>0</v>
      </c>
      <c r="H165" s="91"/>
    </row>
    <row r="166" spans="1:9" ht="60.75" thickBot="1" x14ac:dyDescent="0.3">
      <c r="A166" s="2" t="s">
        <v>11</v>
      </c>
      <c r="B166" s="6">
        <f>G166*77%</f>
        <v>40693.730000000003</v>
      </c>
      <c r="C166" s="12"/>
      <c r="D166" s="70">
        <f>G166-B166</f>
        <v>12155.269999999997</v>
      </c>
      <c r="E166" s="8" t="s">
        <v>8</v>
      </c>
      <c r="F166" s="8" t="s">
        <v>8</v>
      </c>
      <c r="G166" s="90">
        <f>44727-355-81+5075+1061+15+224+2183</f>
        <v>52849</v>
      </c>
      <c r="H166" s="91"/>
    </row>
    <row r="167" spans="1:9" ht="30.75" thickBot="1" x14ac:dyDescent="0.3">
      <c r="A167" s="2" t="s">
        <v>12</v>
      </c>
      <c r="B167" s="6">
        <f>G167*77%</f>
        <v>1791.79</v>
      </c>
      <c r="C167" s="12"/>
      <c r="D167" s="70">
        <f>G167-B167</f>
        <v>535.21</v>
      </c>
      <c r="E167" s="8" t="s">
        <v>8</v>
      </c>
      <c r="F167" s="8" t="s">
        <v>8</v>
      </c>
      <c r="G167" s="90">
        <f>355+81+708+856+327</f>
        <v>2327</v>
      </c>
      <c r="H167" s="91"/>
      <c r="I167" s="10">
        <f>G164+G166+G167</f>
        <v>164502</v>
      </c>
    </row>
    <row r="168" spans="1:9" ht="15.75" thickBot="1" x14ac:dyDescent="0.3">
      <c r="A168" s="2" t="s">
        <v>13</v>
      </c>
      <c r="B168" s="6">
        <f>G168*56%</f>
        <v>3560.4800000000005</v>
      </c>
      <c r="C168" s="6"/>
      <c r="D168" s="70">
        <f>G168-B168</f>
        <v>2797.5199999999995</v>
      </c>
      <c r="E168" s="8" t="s">
        <v>8</v>
      </c>
      <c r="F168" s="8" t="s">
        <v>8</v>
      </c>
      <c r="G168" s="90">
        <f>439+5919</f>
        <v>6358</v>
      </c>
      <c r="H168" s="91"/>
    </row>
    <row r="169" spans="1:9" ht="30.75" thickBot="1" x14ac:dyDescent="0.3">
      <c r="A169" s="2" t="s">
        <v>14</v>
      </c>
      <c r="B169" s="6">
        <f>G169*56%</f>
        <v>3202.6400000000003</v>
      </c>
      <c r="C169" s="6"/>
      <c r="D169" s="70">
        <f>G169-B169</f>
        <v>2516.3599999999997</v>
      </c>
      <c r="E169" s="8" t="s">
        <v>8</v>
      </c>
      <c r="F169" s="8" t="s">
        <v>8</v>
      </c>
      <c r="G169" s="90">
        <f>12077-G168</f>
        <v>5719</v>
      </c>
      <c r="H169" s="91"/>
    </row>
    <row r="170" spans="1:9" ht="45.75" thickBot="1" x14ac:dyDescent="0.3">
      <c r="A170" s="2" t="s">
        <v>15</v>
      </c>
      <c r="B170" s="8" t="s">
        <v>8</v>
      </c>
      <c r="C170" s="8" t="s">
        <v>8</v>
      </c>
      <c r="D170" s="6"/>
      <c r="E170" s="8" t="s">
        <v>8</v>
      </c>
      <c r="F170" s="8" t="s">
        <v>8</v>
      </c>
      <c r="G170" s="90"/>
      <c r="H170" s="91"/>
    </row>
    <row r="171" spans="1:9" ht="15.75" thickBot="1" x14ac:dyDescent="0.3">
      <c r="A171" s="2" t="s">
        <v>16</v>
      </c>
      <c r="B171" s="8" t="s">
        <v>8</v>
      </c>
      <c r="C171" s="8" t="s">
        <v>8</v>
      </c>
      <c r="D171" s="12"/>
      <c r="E171" s="6">
        <v>0</v>
      </c>
      <c r="F171" s="6"/>
      <c r="G171" s="90">
        <v>0</v>
      </c>
      <c r="H171" s="91"/>
    </row>
    <row r="172" spans="1:9" ht="15.75" thickBot="1" x14ac:dyDescent="0.3">
      <c r="A172" s="3" t="s">
        <v>17</v>
      </c>
      <c r="B172" s="6">
        <f>G172*56%</f>
        <v>719.6</v>
      </c>
      <c r="C172" s="8"/>
      <c r="D172" s="6"/>
      <c r="E172" s="6">
        <f>G172-B172</f>
        <v>565.4</v>
      </c>
      <c r="F172" s="6"/>
      <c r="G172" s="90">
        <v>1285</v>
      </c>
      <c r="H172" s="91"/>
    </row>
    <row r="173" spans="1:9" ht="15.75" thickBot="1" x14ac:dyDescent="0.3">
      <c r="A173" s="3" t="s">
        <v>18</v>
      </c>
      <c r="B173" s="6"/>
      <c r="C173" s="8"/>
      <c r="D173" s="8"/>
      <c r="E173" s="6"/>
      <c r="F173" s="6"/>
      <c r="G173" s="90"/>
      <c r="H173" s="91"/>
    </row>
    <row r="174" spans="1:9" ht="45.75" thickBot="1" x14ac:dyDescent="0.3">
      <c r="A174" s="2" t="s">
        <v>19</v>
      </c>
      <c r="B174" s="6"/>
      <c r="C174" s="8"/>
      <c r="D174" s="6"/>
      <c r="E174" s="6"/>
      <c r="F174" s="6"/>
      <c r="G174" s="94"/>
      <c r="H174" s="95"/>
    </row>
    <row r="175" spans="1:9" ht="30.75" thickBot="1" x14ac:dyDescent="0.3">
      <c r="A175" s="2" t="s">
        <v>20</v>
      </c>
      <c r="B175" s="6"/>
      <c r="C175" s="8"/>
      <c r="D175" s="6"/>
      <c r="E175" s="6">
        <v>35673</v>
      </c>
      <c r="F175" s="6"/>
      <c r="G175" s="90">
        <v>35673</v>
      </c>
      <c r="H175" s="91"/>
    </row>
    <row r="176" spans="1:9" ht="30.75" thickBot="1" x14ac:dyDescent="0.3">
      <c r="A176" s="2" t="s">
        <v>21</v>
      </c>
      <c r="B176" s="6">
        <f>G176*56%</f>
        <v>12415.760000000002</v>
      </c>
      <c r="C176" s="6"/>
      <c r="D176" s="70">
        <f>G176-B176</f>
        <v>9755.239999999998</v>
      </c>
      <c r="E176" s="8" t="s">
        <v>8</v>
      </c>
      <c r="F176" s="8" t="s">
        <v>8</v>
      </c>
      <c r="G176" s="90">
        <f>23456-G172</f>
        <v>22171</v>
      </c>
      <c r="H176" s="91"/>
    </row>
    <row r="177" spans="1:11" ht="15.75" thickBot="1" x14ac:dyDescent="0.3">
      <c r="A177" s="3" t="s">
        <v>22</v>
      </c>
      <c r="B177" s="6">
        <f>G177*56%</f>
        <v>14346.080000000002</v>
      </c>
      <c r="C177" s="6"/>
      <c r="D177" s="70">
        <f>G177-B177</f>
        <v>11271.919999999998</v>
      </c>
      <c r="E177" s="8" t="s">
        <v>8</v>
      </c>
      <c r="F177" s="8" t="s">
        <v>8</v>
      </c>
      <c r="G177" s="90">
        <f>2845+7028+1417+14328</f>
        <v>25618</v>
      </c>
      <c r="H177" s="91"/>
    </row>
    <row r="178" spans="1:11" ht="15.75" thickBot="1" x14ac:dyDescent="0.3">
      <c r="A178" s="3" t="s">
        <v>23</v>
      </c>
      <c r="B178" s="8" t="s">
        <v>8</v>
      </c>
      <c r="C178" s="12"/>
      <c r="D178" s="8" t="s">
        <v>8</v>
      </c>
      <c r="E178" s="8" t="s">
        <v>8</v>
      </c>
      <c r="F178" s="8" t="s">
        <v>8</v>
      </c>
      <c r="G178" s="94"/>
      <c r="H178" s="95"/>
    </row>
    <row r="179" spans="1:11" ht="15.75" thickBot="1" x14ac:dyDescent="0.3">
      <c r="A179" s="3" t="s">
        <v>24</v>
      </c>
      <c r="B179" s="6"/>
      <c r="C179" s="6"/>
      <c r="D179" s="6"/>
      <c r="E179" s="8" t="s">
        <v>8</v>
      </c>
      <c r="F179" s="8" t="s">
        <v>8</v>
      </c>
      <c r="G179" s="90"/>
      <c r="H179" s="91"/>
    </row>
    <row r="180" spans="1:11" ht="15.75" thickBot="1" x14ac:dyDescent="0.3">
      <c r="A180" s="4" t="s">
        <v>25</v>
      </c>
      <c r="B180" s="6">
        <f>SUM(B164:B179)</f>
        <v>160911.10000000003</v>
      </c>
      <c r="C180" s="6"/>
      <c r="D180" s="6">
        <f>SUM(D164:D179)</f>
        <v>64176.499999999985</v>
      </c>
      <c r="E180" s="6">
        <f>SUM(E164:E179)</f>
        <v>36238.400000000001</v>
      </c>
      <c r="F180" s="6"/>
      <c r="G180" s="90">
        <f>SUM(G164:H179)</f>
        <v>261326</v>
      </c>
      <c r="H180" s="91"/>
    </row>
    <row r="181" spans="1:11" x14ac:dyDescent="0.25">
      <c r="A181" s="92" t="s">
        <v>26</v>
      </c>
      <c r="B181" s="92"/>
      <c r="C181" s="92"/>
      <c r="D181" s="92"/>
      <c r="E181" s="92"/>
      <c r="F181" s="92"/>
      <c r="G181" s="92"/>
      <c r="H181" s="92"/>
    </row>
    <row r="182" spans="1:11" x14ac:dyDescent="0.25">
      <c r="A182" s="93" t="s">
        <v>27</v>
      </c>
      <c r="B182" s="93"/>
      <c r="C182" s="93"/>
      <c r="D182" s="93"/>
      <c r="E182" s="93"/>
      <c r="F182" s="93"/>
      <c r="G182" s="93"/>
      <c r="H182" s="93"/>
    </row>
    <row r="183" spans="1:11" x14ac:dyDescent="0.25">
      <c r="A183" s="93" t="s">
        <v>28</v>
      </c>
      <c r="B183" s="93"/>
      <c r="C183" s="93"/>
      <c r="D183" s="93"/>
      <c r="E183" s="93"/>
      <c r="F183" s="93"/>
      <c r="G183" s="93"/>
      <c r="H183" s="93"/>
      <c r="K183" s="10">
        <f>G686-G681</f>
        <v>0</v>
      </c>
    </row>
    <row r="184" spans="1:11" x14ac:dyDescent="0.25">
      <c r="B184" s="10" t="s">
        <v>199</v>
      </c>
      <c r="C184" s="10">
        <v>106265</v>
      </c>
      <c r="K184" s="10">
        <f>K183-244898</f>
        <v>-244898</v>
      </c>
    </row>
    <row r="185" spans="1:11" x14ac:dyDescent="0.25">
      <c r="C185" s="10">
        <f>C184-B180</f>
        <v>-54646.100000000035</v>
      </c>
    </row>
    <row r="189" spans="1:11" x14ac:dyDescent="0.25">
      <c r="A189" s="65"/>
      <c r="B189" s="66"/>
      <c r="C189" s="66"/>
      <c r="D189" s="66"/>
      <c r="E189" s="112" t="s">
        <v>29</v>
      </c>
      <c r="F189" s="112"/>
      <c r="G189" s="112"/>
      <c r="H189" s="112"/>
    </row>
    <row r="190" spans="1:11" x14ac:dyDescent="0.25">
      <c r="A190" s="113"/>
      <c r="B190" s="114"/>
      <c r="C190" s="114"/>
      <c r="D190" s="115"/>
      <c r="E190" s="115" t="s">
        <v>0</v>
      </c>
      <c r="F190" s="115"/>
      <c r="G190" s="115"/>
      <c r="H190" s="115"/>
    </row>
    <row r="191" spans="1:11" x14ac:dyDescent="0.25">
      <c r="A191" s="113"/>
      <c r="B191" s="114"/>
      <c r="C191" s="114"/>
      <c r="D191" s="115"/>
      <c r="E191" s="128" t="s">
        <v>31</v>
      </c>
      <c r="F191" s="115"/>
      <c r="G191" s="115"/>
      <c r="H191" s="115"/>
    </row>
    <row r="192" spans="1:11" ht="15.75" thickBot="1" x14ac:dyDescent="0.3">
      <c r="A192" s="98" t="s">
        <v>200</v>
      </c>
      <c r="B192" s="98"/>
      <c r="C192" s="98"/>
      <c r="D192" s="98"/>
      <c r="E192" s="98"/>
      <c r="F192" s="98"/>
      <c r="G192" s="98"/>
      <c r="H192" s="98"/>
    </row>
    <row r="193" spans="1:9" x14ac:dyDescent="0.25">
      <c r="A193" s="100" t="s">
        <v>2</v>
      </c>
      <c r="B193" s="103" t="s">
        <v>30</v>
      </c>
      <c r="C193" s="104"/>
      <c r="D193" s="104"/>
      <c r="E193" s="104"/>
      <c r="F193" s="104"/>
      <c r="G193" s="105" t="s">
        <v>3</v>
      </c>
      <c r="H193" s="106"/>
    </row>
    <row r="194" spans="1:9" ht="135.75" thickBot="1" x14ac:dyDescent="0.3">
      <c r="A194" s="124"/>
      <c r="B194" s="105" t="s">
        <v>30</v>
      </c>
      <c r="C194" s="105"/>
      <c r="D194" s="15" t="s">
        <v>32</v>
      </c>
      <c r="E194" s="105" t="s">
        <v>4</v>
      </c>
      <c r="F194" s="105"/>
      <c r="G194" s="125"/>
      <c r="H194" s="109"/>
    </row>
    <row r="195" spans="1:9" ht="165.75" thickBot="1" x14ac:dyDescent="0.3">
      <c r="A195" s="102"/>
      <c r="B195" s="14" t="s">
        <v>36</v>
      </c>
      <c r="C195" s="69" t="s">
        <v>5</v>
      </c>
      <c r="D195" s="15" t="s">
        <v>33</v>
      </c>
      <c r="E195" s="69" t="s">
        <v>34</v>
      </c>
      <c r="F195" s="72" t="s">
        <v>35</v>
      </c>
      <c r="G195" s="110"/>
      <c r="H195" s="111"/>
    </row>
    <row r="196" spans="1:9" ht="15.75" thickBot="1" x14ac:dyDescent="0.3">
      <c r="A196" s="68">
        <v>1</v>
      </c>
      <c r="B196" s="72">
        <v>2</v>
      </c>
      <c r="C196" s="11">
        <v>3</v>
      </c>
      <c r="D196" s="72">
        <v>4</v>
      </c>
      <c r="E196" s="11">
        <v>5</v>
      </c>
      <c r="F196" s="72">
        <v>6</v>
      </c>
      <c r="G196" s="96" t="s">
        <v>6</v>
      </c>
      <c r="H196" s="97"/>
    </row>
    <row r="197" spans="1:9" ht="60.75" thickBot="1" x14ac:dyDescent="0.3">
      <c r="A197" s="2" t="s">
        <v>7</v>
      </c>
      <c r="B197" s="6">
        <f>B198</f>
        <v>101132.57</v>
      </c>
      <c r="C197" s="12"/>
      <c r="D197" s="6">
        <f>D198</f>
        <v>30208.429999999993</v>
      </c>
      <c r="E197" s="8" t="s">
        <v>8</v>
      </c>
      <c r="F197" s="8" t="s">
        <v>8</v>
      </c>
      <c r="G197" s="90">
        <f>107991-848-920-346+12345+2299+4535+534+5751</f>
        <v>131341</v>
      </c>
      <c r="H197" s="91"/>
    </row>
    <row r="198" spans="1:9" ht="15.75" thickBot="1" x14ac:dyDescent="0.3">
      <c r="A198" s="3" t="s">
        <v>9</v>
      </c>
      <c r="B198" s="6">
        <f>G198*77%</f>
        <v>101132.57</v>
      </c>
      <c r="C198" s="12"/>
      <c r="D198" s="70">
        <f>G198-B198</f>
        <v>30208.429999999993</v>
      </c>
      <c r="E198" s="8" t="s">
        <v>8</v>
      </c>
      <c r="F198" s="8" t="s">
        <v>8</v>
      </c>
      <c r="G198" s="90">
        <f>G197</f>
        <v>131341</v>
      </c>
      <c r="H198" s="91"/>
    </row>
    <row r="199" spans="1:9" ht="15.75" thickBot="1" x14ac:dyDescent="0.3">
      <c r="A199" s="2" t="s">
        <v>10</v>
      </c>
      <c r="B199" s="6">
        <v>0</v>
      </c>
      <c r="C199" s="12"/>
      <c r="D199" s="6">
        <v>0</v>
      </c>
      <c r="E199" s="8" t="s">
        <v>8</v>
      </c>
      <c r="F199" s="8" t="s">
        <v>8</v>
      </c>
      <c r="G199" s="90">
        <v>0</v>
      </c>
      <c r="H199" s="91"/>
    </row>
    <row r="200" spans="1:9" ht="60.75" thickBot="1" x14ac:dyDescent="0.3">
      <c r="A200" s="2" t="s">
        <v>11</v>
      </c>
      <c r="B200" s="6">
        <f>G200*77%</f>
        <v>49123.69</v>
      </c>
      <c r="C200" s="12"/>
      <c r="D200" s="70">
        <f>G200-B200</f>
        <v>14673.309999999998</v>
      </c>
      <c r="E200" s="8" t="s">
        <v>8</v>
      </c>
      <c r="F200" s="8" t="s">
        <v>8</v>
      </c>
      <c r="G200" s="90">
        <f>53980-430-81+6131+1275+16+270+2636</f>
        <v>63797</v>
      </c>
      <c r="H200" s="91"/>
    </row>
    <row r="201" spans="1:9" ht="30.75" thickBot="1" x14ac:dyDescent="0.3">
      <c r="A201" s="2" t="s">
        <v>12</v>
      </c>
      <c r="B201" s="6">
        <f>G201*77%</f>
        <v>2021.25</v>
      </c>
      <c r="C201" s="12"/>
      <c r="D201" s="70">
        <f>G201-B201</f>
        <v>603.75</v>
      </c>
      <c r="E201" s="8" t="s">
        <v>8</v>
      </c>
      <c r="F201" s="8" t="s">
        <v>8</v>
      </c>
      <c r="G201" s="90">
        <f>848+920+346+430+81</f>
        <v>2625</v>
      </c>
      <c r="H201" s="91"/>
      <c r="I201" s="10">
        <f>G198+G200+G201</f>
        <v>197763</v>
      </c>
    </row>
    <row r="202" spans="1:9" ht="15.75" thickBot="1" x14ac:dyDescent="0.3">
      <c r="A202" s="2" t="s">
        <v>13</v>
      </c>
      <c r="B202" s="6">
        <f>G202*56%</f>
        <v>4061.1200000000003</v>
      </c>
      <c r="C202" s="6"/>
      <c r="D202" s="70">
        <f>G202-B202</f>
        <v>3190.8799999999997</v>
      </c>
      <c r="E202" s="8" t="s">
        <v>8</v>
      </c>
      <c r="F202" s="8" t="s">
        <v>8</v>
      </c>
      <c r="G202" s="90">
        <f>G168+894</f>
        <v>7252</v>
      </c>
      <c r="H202" s="91"/>
    </row>
    <row r="203" spans="1:9" ht="30.75" thickBot="1" x14ac:dyDescent="0.3">
      <c r="A203" s="2" t="s">
        <v>14</v>
      </c>
      <c r="B203" s="6">
        <f>G203*56%</f>
        <v>3811.3600000000006</v>
      </c>
      <c r="C203" s="6"/>
      <c r="D203" s="70">
        <f>G203-B203</f>
        <v>2994.6399999999994</v>
      </c>
      <c r="E203" s="8" t="s">
        <v>8</v>
      </c>
      <c r="F203" s="8" t="s">
        <v>8</v>
      </c>
      <c r="G203" s="90">
        <f>G169+1087</f>
        <v>6806</v>
      </c>
      <c r="H203" s="91"/>
    </row>
    <row r="204" spans="1:9" ht="45.75" thickBot="1" x14ac:dyDescent="0.3">
      <c r="A204" s="2" t="s">
        <v>15</v>
      </c>
      <c r="B204" s="8" t="s">
        <v>8</v>
      </c>
      <c r="C204" s="8" t="s">
        <v>8</v>
      </c>
      <c r="D204" s="6"/>
      <c r="E204" s="8" t="s">
        <v>8</v>
      </c>
      <c r="F204" s="8" t="s">
        <v>8</v>
      </c>
      <c r="G204" s="90"/>
      <c r="H204" s="91"/>
    </row>
    <row r="205" spans="1:9" ht="15.75" thickBot="1" x14ac:dyDescent="0.3">
      <c r="A205" s="2" t="s">
        <v>16</v>
      </c>
      <c r="B205" s="8" t="s">
        <v>8</v>
      </c>
      <c r="C205" s="8" t="s">
        <v>8</v>
      </c>
      <c r="D205" s="12"/>
      <c r="E205" s="6">
        <v>0</v>
      </c>
      <c r="F205" s="6"/>
      <c r="G205" s="90">
        <v>0</v>
      </c>
      <c r="H205" s="91"/>
    </row>
    <row r="206" spans="1:9" ht="15.75" thickBot="1" x14ac:dyDescent="0.3">
      <c r="A206" s="3" t="s">
        <v>17</v>
      </c>
      <c r="B206" s="6">
        <f>G206*56%</f>
        <v>719.6</v>
      </c>
      <c r="C206" s="8"/>
      <c r="D206" s="6"/>
      <c r="E206" s="6">
        <f>G206-B206</f>
        <v>565.4</v>
      </c>
      <c r="F206" s="6"/>
      <c r="G206" s="90">
        <v>1285</v>
      </c>
      <c r="H206" s="91"/>
    </row>
    <row r="207" spans="1:9" ht="15.75" thickBot="1" x14ac:dyDescent="0.3">
      <c r="A207" s="3" t="s">
        <v>18</v>
      </c>
      <c r="B207" s="6"/>
      <c r="C207" s="8"/>
      <c r="D207" s="8"/>
      <c r="E207" s="6"/>
      <c r="F207" s="6"/>
      <c r="G207" s="90"/>
      <c r="H207" s="91"/>
    </row>
    <row r="208" spans="1:9" ht="45.75" thickBot="1" x14ac:dyDescent="0.3">
      <c r="A208" s="2" t="s">
        <v>19</v>
      </c>
      <c r="B208" s="6"/>
      <c r="C208" s="8"/>
      <c r="D208" s="6"/>
      <c r="E208" s="6"/>
      <c r="F208" s="6"/>
      <c r="G208" s="94"/>
      <c r="H208" s="95"/>
    </row>
    <row r="209" spans="1:11" ht="30.75" thickBot="1" x14ac:dyDescent="0.3">
      <c r="A209" s="2" t="s">
        <v>20</v>
      </c>
      <c r="B209" s="6"/>
      <c r="C209" s="8"/>
      <c r="D209" s="6"/>
      <c r="E209" s="6"/>
      <c r="F209" s="6"/>
      <c r="G209" s="90">
        <v>0</v>
      </c>
      <c r="H209" s="91"/>
    </row>
    <row r="210" spans="1:11" ht="30.75" thickBot="1" x14ac:dyDescent="0.3">
      <c r="A210" s="2" t="s">
        <v>21</v>
      </c>
      <c r="B210" s="6">
        <f>G210*56%</f>
        <v>13312.880000000001</v>
      </c>
      <c r="C210" s="6"/>
      <c r="D210" s="70">
        <f>G210-B210</f>
        <v>10460.119999999999</v>
      </c>
      <c r="E210" s="8" t="s">
        <v>8</v>
      </c>
      <c r="F210" s="8" t="s">
        <v>8</v>
      </c>
      <c r="G210" s="90">
        <f>G176+1602</f>
        <v>23773</v>
      </c>
      <c r="H210" s="91"/>
    </row>
    <row r="211" spans="1:11" ht="15.75" thickBot="1" x14ac:dyDescent="0.3">
      <c r="A211" s="3" t="s">
        <v>22</v>
      </c>
      <c r="B211" s="6">
        <f>G211*56%</f>
        <v>15788.640000000001</v>
      </c>
      <c r="C211" s="6"/>
      <c r="D211" s="70">
        <f>G211-B211</f>
        <v>12405.359999999999</v>
      </c>
      <c r="E211" s="8" t="s">
        <v>8</v>
      </c>
      <c r="F211" s="8" t="s">
        <v>8</v>
      </c>
      <c r="G211" s="90">
        <f>G177+2576</f>
        <v>28194</v>
      </c>
      <c r="H211" s="91"/>
    </row>
    <row r="212" spans="1:11" ht="15.75" thickBot="1" x14ac:dyDescent="0.3">
      <c r="A212" s="3" t="s">
        <v>23</v>
      </c>
      <c r="B212" s="8" t="s">
        <v>8</v>
      </c>
      <c r="C212" s="12"/>
      <c r="D212" s="8" t="s">
        <v>8</v>
      </c>
      <c r="E212" s="8" t="s">
        <v>8</v>
      </c>
      <c r="F212" s="8" t="s">
        <v>8</v>
      </c>
      <c r="G212" s="94"/>
      <c r="H212" s="95"/>
    </row>
    <row r="213" spans="1:11" ht="15.75" thickBot="1" x14ac:dyDescent="0.3">
      <c r="A213" s="3" t="s">
        <v>24</v>
      </c>
      <c r="B213" s="6"/>
      <c r="C213" s="6"/>
      <c r="D213" s="6"/>
      <c r="E213" s="8" t="s">
        <v>8</v>
      </c>
      <c r="F213" s="8" t="s">
        <v>8</v>
      </c>
      <c r="G213" s="90"/>
      <c r="H213" s="91"/>
    </row>
    <row r="214" spans="1:11" ht="15.75" thickBot="1" x14ac:dyDescent="0.3">
      <c r="A214" s="4" t="s">
        <v>25</v>
      </c>
      <c r="B214" s="6">
        <f>SUM(B198:B213)</f>
        <v>189971.11000000002</v>
      </c>
      <c r="C214" s="6"/>
      <c r="D214" s="6">
        <f>SUM(D198:D213)</f>
        <v>74536.489999999991</v>
      </c>
      <c r="E214" s="6">
        <f>SUM(E198:E213)</f>
        <v>565.4</v>
      </c>
      <c r="F214" s="6"/>
      <c r="G214" s="90">
        <f>SUM(G198:H213)</f>
        <v>265073</v>
      </c>
      <c r="H214" s="91"/>
    </row>
    <row r="215" spans="1:11" x14ac:dyDescent="0.25">
      <c r="A215" s="92" t="s">
        <v>26</v>
      </c>
      <c r="B215" s="92"/>
      <c r="C215" s="92"/>
      <c r="D215" s="92"/>
      <c r="E215" s="92"/>
      <c r="F215" s="92"/>
      <c r="G215" s="92"/>
      <c r="H215" s="92"/>
    </row>
    <row r="216" spans="1:11" x14ac:dyDescent="0.25">
      <c r="A216" s="93" t="s">
        <v>27</v>
      </c>
      <c r="B216" s="93"/>
      <c r="C216" s="93"/>
      <c r="D216" s="93"/>
      <c r="E216" s="93"/>
      <c r="F216" s="93"/>
      <c r="G216" s="93"/>
      <c r="H216" s="93"/>
    </row>
    <row r="217" spans="1:11" x14ac:dyDescent="0.25">
      <c r="A217" s="93" t="s">
        <v>28</v>
      </c>
      <c r="B217" s="93"/>
      <c r="C217" s="93"/>
      <c r="D217" s="93"/>
      <c r="E217" s="93"/>
      <c r="F217" s="93"/>
      <c r="G217" s="93"/>
      <c r="H217" s="93"/>
      <c r="K217" s="10">
        <f>G720-G715</f>
        <v>0</v>
      </c>
    </row>
    <row r="218" spans="1:11" x14ac:dyDescent="0.25">
      <c r="B218" s="10" t="s">
        <v>202</v>
      </c>
      <c r="C218" s="10">
        <v>125627</v>
      </c>
      <c r="K218" s="10">
        <f>K217-244898</f>
        <v>-244898</v>
      </c>
    </row>
    <row r="219" spans="1:11" x14ac:dyDescent="0.25">
      <c r="C219" s="10">
        <f>C218-B214</f>
        <v>-64344.110000000015</v>
      </c>
    </row>
    <row r="223" spans="1:11" x14ac:dyDescent="0.25">
      <c r="A223" s="65"/>
      <c r="B223" s="66"/>
      <c r="C223" s="66"/>
      <c r="D223" s="66"/>
      <c r="E223" s="112" t="s">
        <v>29</v>
      </c>
      <c r="F223" s="112"/>
      <c r="G223" s="112"/>
      <c r="H223" s="112"/>
    </row>
    <row r="224" spans="1:11" x14ac:dyDescent="0.25">
      <c r="A224" s="113"/>
      <c r="B224" s="114"/>
      <c r="C224" s="114"/>
      <c r="D224" s="115"/>
      <c r="E224" s="115" t="s">
        <v>0</v>
      </c>
      <c r="F224" s="115"/>
      <c r="G224" s="115"/>
      <c r="H224" s="115"/>
    </row>
    <row r="225" spans="1:9" x14ac:dyDescent="0.25">
      <c r="A225" s="113"/>
      <c r="B225" s="114"/>
      <c r="C225" s="114"/>
      <c r="D225" s="115"/>
      <c r="E225" s="128" t="s">
        <v>31</v>
      </c>
      <c r="F225" s="115"/>
      <c r="G225" s="115"/>
      <c r="H225" s="115"/>
    </row>
    <row r="226" spans="1:9" ht="15.75" thickBot="1" x14ac:dyDescent="0.3">
      <c r="A226" s="98" t="s">
        <v>203</v>
      </c>
      <c r="B226" s="98"/>
      <c r="C226" s="98"/>
      <c r="D226" s="98"/>
      <c r="E226" s="98"/>
      <c r="F226" s="98"/>
      <c r="G226" s="98"/>
      <c r="H226" s="98"/>
    </row>
    <row r="227" spans="1:9" x14ac:dyDescent="0.25">
      <c r="A227" s="100" t="s">
        <v>2</v>
      </c>
      <c r="B227" s="103" t="s">
        <v>30</v>
      </c>
      <c r="C227" s="104"/>
      <c r="D227" s="104"/>
      <c r="E227" s="104"/>
      <c r="F227" s="104"/>
      <c r="G227" s="105" t="s">
        <v>3</v>
      </c>
      <c r="H227" s="106"/>
    </row>
    <row r="228" spans="1:9" ht="135.75" thickBot="1" x14ac:dyDescent="0.3">
      <c r="A228" s="124"/>
      <c r="B228" s="105" t="s">
        <v>30</v>
      </c>
      <c r="C228" s="105"/>
      <c r="D228" s="15" t="s">
        <v>32</v>
      </c>
      <c r="E228" s="105" t="s">
        <v>4</v>
      </c>
      <c r="F228" s="105"/>
      <c r="G228" s="125"/>
      <c r="H228" s="109"/>
    </row>
    <row r="229" spans="1:9" ht="165.75" thickBot="1" x14ac:dyDescent="0.3">
      <c r="A229" s="102"/>
      <c r="B229" s="14" t="s">
        <v>36</v>
      </c>
      <c r="C229" s="69" t="s">
        <v>5</v>
      </c>
      <c r="D229" s="15" t="s">
        <v>33</v>
      </c>
      <c r="E229" s="69" t="s">
        <v>34</v>
      </c>
      <c r="F229" s="72" t="s">
        <v>35</v>
      </c>
      <c r="G229" s="110"/>
      <c r="H229" s="111"/>
    </row>
    <row r="230" spans="1:9" ht="15.75" thickBot="1" x14ac:dyDescent="0.3">
      <c r="A230" s="68">
        <v>1</v>
      </c>
      <c r="B230" s="72">
        <v>2</v>
      </c>
      <c r="C230" s="11">
        <v>3</v>
      </c>
      <c r="D230" s="72">
        <v>4</v>
      </c>
      <c r="E230" s="11">
        <v>5</v>
      </c>
      <c r="F230" s="72">
        <v>6</v>
      </c>
      <c r="G230" s="96" t="s">
        <v>6</v>
      </c>
      <c r="H230" s="97"/>
    </row>
    <row r="231" spans="1:9" ht="60.75" thickBot="1" x14ac:dyDescent="0.3">
      <c r="A231" s="2" t="s">
        <v>7</v>
      </c>
      <c r="B231" s="6">
        <f>B232</f>
        <v>117649.07</v>
      </c>
      <c r="C231" s="12"/>
      <c r="D231" s="6">
        <f>D232</f>
        <v>35141.929999999993</v>
      </c>
      <c r="E231" s="8" t="s">
        <v>8</v>
      </c>
      <c r="F231" s="8" t="s">
        <v>8</v>
      </c>
      <c r="G231" s="90">
        <f>154056-919-346</f>
        <v>152791</v>
      </c>
      <c r="H231" s="91"/>
    </row>
    <row r="232" spans="1:9" ht="15.75" thickBot="1" x14ac:dyDescent="0.3">
      <c r="A232" s="3" t="s">
        <v>9</v>
      </c>
      <c r="B232" s="6">
        <f>G232*77%</f>
        <v>117649.07</v>
      </c>
      <c r="C232" s="12"/>
      <c r="D232" s="70">
        <f>G232-B232</f>
        <v>35141.929999999993</v>
      </c>
      <c r="E232" s="8" t="s">
        <v>8</v>
      </c>
      <c r="F232" s="8" t="s">
        <v>8</v>
      </c>
      <c r="G232" s="90">
        <f>G231</f>
        <v>152791</v>
      </c>
      <c r="H232" s="91"/>
    </row>
    <row r="233" spans="1:9" ht="15.75" thickBot="1" x14ac:dyDescent="0.3">
      <c r="A233" s="2" t="s">
        <v>10</v>
      </c>
      <c r="B233" s="6">
        <v>0</v>
      </c>
      <c r="C233" s="12"/>
      <c r="D233" s="6">
        <v>0</v>
      </c>
      <c r="E233" s="8" t="s">
        <v>8</v>
      </c>
      <c r="F233" s="8" t="s">
        <v>8</v>
      </c>
      <c r="G233" s="90">
        <v>0</v>
      </c>
      <c r="H233" s="91"/>
    </row>
    <row r="234" spans="1:9" ht="60.75" thickBot="1" x14ac:dyDescent="0.3">
      <c r="A234" s="2" t="s">
        <v>11</v>
      </c>
      <c r="B234" s="6">
        <f>G234*77%</f>
        <v>55225.94</v>
      </c>
      <c r="C234" s="12"/>
      <c r="D234" s="70">
        <f>G234-B234</f>
        <v>16496.059999999998</v>
      </c>
      <c r="E234" s="8" t="s">
        <v>8</v>
      </c>
      <c r="F234" s="8" t="s">
        <v>8</v>
      </c>
      <c r="G234" s="90">
        <f>72163-441</f>
        <v>71722</v>
      </c>
      <c r="H234" s="91"/>
    </row>
    <row r="235" spans="1:9" ht="30.75" thickBot="1" x14ac:dyDescent="0.3">
      <c r="A235" s="2" t="s">
        <v>12</v>
      </c>
      <c r="B235" s="6">
        <f>G235*77%</f>
        <v>1313.6200000000001</v>
      </c>
      <c r="C235" s="12"/>
      <c r="D235" s="70">
        <f>G235-B235</f>
        <v>392.37999999999988</v>
      </c>
      <c r="E235" s="8" t="s">
        <v>8</v>
      </c>
      <c r="F235" s="8" t="s">
        <v>8</v>
      </c>
      <c r="G235" s="90">
        <f>441+346+919</f>
        <v>1706</v>
      </c>
      <c r="H235" s="91"/>
      <c r="I235" s="10">
        <f>G232+G234+G235</f>
        <v>226219</v>
      </c>
    </row>
    <row r="236" spans="1:9" ht="15.75" thickBot="1" x14ac:dyDescent="0.3">
      <c r="A236" s="2" t="s">
        <v>13</v>
      </c>
      <c r="B236" s="6">
        <f>G236*56%</f>
        <v>4140.0800000000008</v>
      </c>
      <c r="C236" s="6"/>
      <c r="D236" s="70">
        <f>G236-B236</f>
        <v>3252.9199999999992</v>
      </c>
      <c r="E236" s="8" t="s">
        <v>8</v>
      </c>
      <c r="F236" s="8" t="s">
        <v>8</v>
      </c>
      <c r="G236" s="90">
        <f>439+6954</f>
        <v>7393</v>
      </c>
      <c r="H236" s="91"/>
    </row>
    <row r="237" spans="1:9" ht="30.75" thickBot="1" x14ac:dyDescent="0.3">
      <c r="A237" s="2" t="s">
        <v>14</v>
      </c>
      <c r="B237" s="6">
        <f>G237*56%</f>
        <v>4230.8</v>
      </c>
      <c r="C237" s="6"/>
      <c r="D237" s="70">
        <f>G237-B237</f>
        <v>3324.2</v>
      </c>
      <c r="E237" s="8" t="s">
        <v>8</v>
      </c>
      <c r="F237" s="8" t="s">
        <v>8</v>
      </c>
      <c r="G237" s="90">
        <f>14948-G236</f>
        <v>7555</v>
      </c>
      <c r="H237" s="91"/>
    </row>
    <row r="238" spans="1:9" ht="45.75" thickBot="1" x14ac:dyDescent="0.3">
      <c r="A238" s="2" t="s">
        <v>15</v>
      </c>
      <c r="B238" s="8" t="s">
        <v>8</v>
      </c>
      <c r="C238" s="8" t="s">
        <v>8</v>
      </c>
      <c r="D238" s="6"/>
      <c r="E238" s="8" t="s">
        <v>8</v>
      </c>
      <c r="F238" s="8" t="s">
        <v>8</v>
      </c>
      <c r="G238" s="90"/>
      <c r="H238" s="91"/>
    </row>
    <row r="239" spans="1:9" ht="15.75" thickBot="1" x14ac:dyDescent="0.3">
      <c r="A239" s="2" t="s">
        <v>16</v>
      </c>
      <c r="B239" s="8" t="s">
        <v>8</v>
      </c>
      <c r="C239" s="8" t="s">
        <v>8</v>
      </c>
      <c r="D239" s="12"/>
      <c r="E239" s="6">
        <v>0</v>
      </c>
      <c r="F239" s="6"/>
      <c r="G239" s="90">
        <v>0</v>
      </c>
      <c r="H239" s="91"/>
    </row>
    <row r="240" spans="1:9" ht="15.75" thickBot="1" x14ac:dyDescent="0.3">
      <c r="A240" s="3" t="s">
        <v>17</v>
      </c>
      <c r="B240" s="6">
        <f>G240*56%</f>
        <v>2507.6800000000003</v>
      </c>
      <c r="C240" s="8"/>
      <c r="D240" s="6"/>
      <c r="E240" s="6">
        <f>G240-B240</f>
        <v>1970.3199999999997</v>
      </c>
      <c r="F240" s="6"/>
      <c r="G240" s="90">
        <v>4478</v>
      </c>
      <c r="H240" s="91"/>
    </row>
    <row r="241" spans="1:11" ht="15.75" thickBot="1" x14ac:dyDescent="0.3">
      <c r="A241" s="3" t="s">
        <v>18</v>
      </c>
      <c r="B241" s="6"/>
      <c r="C241" s="8"/>
      <c r="D241" s="8"/>
      <c r="E241" s="6"/>
      <c r="F241" s="6"/>
      <c r="G241" s="90"/>
      <c r="H241" s="91"/>
    </row>
    <row r="242" spans="1:11" ht="45.75" thickBot="1" x14ac:dyDescent="0.3">
      <c r="A242" s="2" t="s">
        <v>19</v>
      </c>
      <c r="B242" s="6"/>
      <c r="C242" s="8"/>
      <c r="D242" s="6"/>
      <c r="E242" s="6"/>
      <c r="F242" s="6"/>
      <c r="G242" s="94"/>
      <c r="H242" s="95"/>
    </row>
    <row r="243" spans="1:11" ht="30.75" thickBot="1" x14ac:dyDescent="0.3">
      <c r="A243" s="2" t="s">
        <v>20</v>
      </c>
      <c r="B243" s="6"/>
      <c r="C243" s="8"/>
      <c r="D243" s="6"/>
      <c r="E243" s="6">
        <f>G243</f>
        <v>50051</v>
      </c>
      <c r="F243" s="6"/>
      <c r="G243" s="90">
        <v>50051</v>
      </c>
      <c r="H243" s="91"/>
    </row>
    <row r="244" spans="1:11" ht="30.75" thickBot="1" x14ac:dyDescent="0.3">
      <c r="A244" s="2" t="s">
        <v>21</v>
      </c>
      <c r="B244" s="6">
        <f>G244*56%</f>
        <v>15962.240000000002</v>
      </c>
      <c r="C244" s="6"/>
      <c r="D244" s="70">
        <f>G244-B244</f>
        <v>12541.759999999998</v>
      </c>
      <c r="E244" s="8" t="s">
        <v>8</v>
      </c>
      <c r="F244" s="8" t="s">
        <v>8</v>
      </c>
      <c r="G244" s="90">
        <f>32765-G240+217</f>
        <v>28504</v>
      </c>
      <c r="H244" s="91"/>
      <c r="J244" s="10">
        <f>G243-G209</f>
        <v>50051</v>
      </c>
    </row>
    <row r="245" spans="1:11" ht="15.75" thickBot="1" x14ac:dyDescent="0.3">
      <c r="A245" s="3" t="s">
        <v>22</v>
      </c>
      <c r="B245" s="6">
        <f>G245*56%</f>
        <v>15116.640000000001</v>
      </c>
      <c r="C245" s="6"/>
      <c r="D245" s="70">
        <f>G245-B245</f>
        <v>11877.359999999999</v>
      </c>
      <c r="E245" s="8" t="s">
        <v>8</v>
      </c>
      <c r="F245" s="8" t="s">
        <v>8</v>
      </c>
      <c r="G245" s="90">
        <f>14328+9753+2913</f>
        <v>26994</v>
      </c>
      <c r="H245" s="91"/>
      <c r="J245" s="10">
        <f>301144-G248</f>
        <v>-50050</v>
      </c>
    </row>
    <row r="246" spans="1:11" ht="15.75" thickBot="1" x14ac:dyDescent="0.3">
      <c r="A246" s="3" t="s">
        <v>23</v>
      </c>
      <c r="B246" s="8" t="s">
        <v>8</v>
      </c>
      <c r="C246" s="12"/>
      <c r="D246" s="8" t="s">
        <v>8</v>
      </c>
      <c r="E246" s="8" t="s">
        <v>8</v>
      </c>
      <c r="F246" s="8" t="s">
        <v>8</v>
      </c>
      <c r="G246" s="94"/>
      <c r="H246" s="95"/>
    </row>
    <row r="247" spans="1:11" ht="15.75" thickBot="1" x14ac:dyDescent="0.3">
      <c r="A247" s="3" t="s">
        <v>24</v>
      </c>
      <c r="B247" s="6"/>
      <c r="C247" s="6"/>
      <c r="D247" s="6"/>
      <c r="E247" s="8" t="s">
        <v>8</v>
      </c>
      <c r="F247" s="8" t="s">
        <v>8</v>
      </c>
      <c r="G247" s="90"/>
      <c r="H247" s="91"/>
    </row>
    <row r="248" spans="1:11" ht="15.75" thickBot="1" x14ac:dyDescent="0.3">
      <c r="A248" s="4" t="s">
        <v>25</v>
      </c>
      <c r="B248" s="6">
        <f>SUM(B232:B247)</f>
        <v>216146.06999999998</v>
      </c>
      <c r="C248" s="6"/>
      <c r="D248" s="6">
        <f>SUM(D232:D247)</f>
        <v>83026.609999999986</v>
      </c>
      <c r="E248" s="6">
        <f>SUM(E232:E247)</f>
        <v>52021.32</v>
      </c>
      <c r="F248" s="6"/>
      <c r="G248" s="90">
        <f>SUM(G232:H247)</f>
        <v>351194</v>
      </c>
      <c r="H248" s="91"/>
    </row>
    <row r="249" spans="1:11" x14ac:dyDescent="0.25">
      <c r="A249" s="92" t="s">
        <v>26</v>
      </c>
      <c r="B249" s="92"/>
      <c r="C249" s="92"/>
      <c r="D249" s="92"/>
      <c r="E249" s="92"/>
      <c r="F249" s="92"/>
      <c r="G249" s="92"/>
      <c r="H249" s="92"/>
    </row>
    <row r="250" spans="1:11" x14ac:dyDescent="0.25">
      <c r="A250" s="93" t="s">
        <v>27</v>
      </c>
      <c r="B250" s="93"/>
      <c r="C250" s="93"/>
      <c r="D250" s="93"/>
      <c r="E250" s="93"/>
      <c r="F250" s="93"/>
      <c r="G250" s="93"/>
      <c r="H250" s="93"/>
    </row>
    <row r="251" spans="1:11" x14ac:dyDescent="0.25">
      <c r="A251" s="93" t="s">
        <v>28</v>
      </c>
      <c r="B251" s="93"/>
      <c r="C251" s="93"/>
      <c r="D251" s="93"/>
      <c r="E251" s="93"/>
      <c r="F251" s="93"/>
      <c r="G251" s="93"/>
      <c r="H251" s="93"/>
      <c r="K251" s="10">
        <f>G754-G749</f>
        <v>0</v>
      </c>
    </row>
    <row r="252" spans="1:11" x14ac:dyDescent="0.25">
      <c r="B252" s="10" t="s">
        <v>204</v>
      </c>
      <c r="C252" s="10">
        <v>209835</v>
      </c>
      <c r="K252" s="10">
        <f>K251-244898</f>
        <v>-244898</v>
      </c>
    </row>
    <row r="253" spans="1:11" x14ac:dyDescent="0.25">
      <c r="C253" s="10">
        <f>C252-B248</f>
        <v>-6311.0699999999779</v>
      </c>
    </row>
    <row r="257" spans="1:9" x14ac:dyDescent="0.25">
      <c r="A257" s="65"/>
      <c r="B257" s="66"/>
      <c r="C257" s="66"/>
      <c r="D257" s="66"/>
      <c r="E257" s="112" t="s">
        <v>29</v>
      </c>
      <c r="F257" s="112"/>
      <c r="G257" s="112"/>
      <c r="H257" s="112"/>
    </row>
    <row r="258" spans="1:9" x14ac:dyDescent="0.25">
      <c r="A258" s="113"/>
      <c r="B258" s="114"/>
      <c r="C258" s="114"/>
      <c r="D258" s="115"/>
      <c r="E258" s="115" t="s">
        <v>0</v>
      </c>
      <c r="F258" s="115"/>
      <c r="G258" s="115"/>
      <c r="H258" s="115"/>
    </row>
    <row r="259" spans="1:9" x14ac:dyDescent="0.25">
      <c r="A259" s="113"/>
      <c r="B259" s="114"/>
      <c r="C259" s="114"/>
      <c r="D259" s="115"/>
      <c r="E259" s="128" t="s">
        <v>31</v>
      </c>
      <c r="F259" s="115"/>
      <c r="G259" s="115"/>
      <c r="H259" s="115"/>
    </row>
    <row r="260" spans="1:9" ht="15.75" thickBot="1" x14ac:dyDescent="0.3">
      <c r="A260" s="98" t="s">
        <v>205</v>
      </c>
      <c r="B260" s="98"/>
      <c r="C260" s="98"/>
      <c r="D260" s="98"/>
      <c r="E260" s="98"/>
      <c r="F260" s="98"/>
      <c r="G260" s="98"/>
      <c r="H260" s="98"/>
    </row>
    <row r="261" spans="1:9" x14ac:dyDescent="0.25">
      <c r="A261" s="100" t="s">
        <v>2</v>
      </c>
      <c r="B261" s="103" t="s">
        <v>30</v>
      </c>
      <c r="C261" s="104"/>
      <c r="D261" s="104"/>
      <c r="E261" s="104"/>
      <c r="F261" s="104"/>
      <c r="G261" s="105" t="s">
        <v>3</v>
      </c>
      <c r="H261" s="106"/>
    </row>
    <row r="262" spans="1:9" ht="135.75" thickBot="1" x14ac:dyDescent="0.3">
      <c r="A262" s="124"/>
      <c r="B262" s="105" t="s">
        <v>30</v>
      </c>
      <c r="C262" s="105"/>
      <c r="D262" s="15" t="s">
        <v>32</v>
      </c>
      <c r="E262" s="105" t="s">
        <v>4</v>
      </c>
      <c r="F262" s="105"/>
      <c r="G262" s="125"/>
      <c r="H262" s="109"/>
    </row>
    <row r="263" spans="1:9" ht="165.75" thickBot="1" x14ac:dyDescent="0.3">
      <c r="A263" s="102"/>
      <c r="B263" s="14" t="s">
        <v>36</v>
      </c>
      <c r="C263" s="69" t="s">
        <v>5</v>
      </c>
      <c r="D263" s="15" t="s">
        <v>33</v>
      </c>
      <c r="E263" s="69" t="s">
        <v>34</v>
      </c>
      <c r="F263" s="72" t="s">
        <v>35</v>
      </c>
      <c r="G263" s="110"/>
      <c r="H263" s="111"/>
    </row>
    <row r="264" spans="1:9" ht="15.75" thickBot="1" x14ac:dyDescent="0.3">
      <c r="A264" s="68">
        <v>1</v>
      </c>
      <c r="B264" s="72">
        <v>2</v>
      </c>
      <c r="C264" s="11">
        <v>3</v>
      </c>
      <c r="D264" s="72">
        <v>4</v>
      </c>
      <c r="E264" s="11">
        <v>5</v>
      </c>
      <c r="F264" s="72">
        <v>6</v>
      </c>
      <c r="G264" s="96" t="s">
        <v>6</v>
      </c>
      <c r="H264" s="97"/>
    </row>
    <row r="265" spans="1:9" ht="60.75" thickBot="1" x14ac:dyDescent="0.3">
      <c r="A265" s="2" t="s">
        <v>7</v>
      </c>
      <c r="B265" s="6">
        <f>B266</f>
        <v>130377.17</v>
      </c>
      <c r="C265" s="12"/>
      <c r="D265" s="6">
        <f>D266</f>
        <v>38943.83</v>
      </c>
      <c r="E265" s="8" t="s">
        <v>8</v>
      </c>
      <c r="F265" s="8" t="s">
        <v>8</v>
      </c>
      <c r="G265" s="90">
        <f>170586-346-919</f>
        <v>169321</v>
      </c>
      <c r="H265" s="91"/>
    </row>
    <row r="266" spans="1:9" ht="15.75" thickBot="1" x14ac:dyDescent="0.3">
      <c r="A266" s="3" t="s">
        <v>9</v>
      </c>
      <c r="B266" s="6">
        <f>G266*77%</f>
        <v>130377.17</v>
      </c>
      <c r="C266" s="12"/>
      <c r="D266" s="70">
        <f>G266-B266</f>
        <v>38943.83</v>
      </c>
      <c r="E266" s="8" t="s">
        <v>8</v>
      </c>
      <c r="F266" s="8" t="s">
        <v>8</v>
      </c>
      <c r="G266" s="90">
        <f>G265</f>
        <v>169321</v>
      </c>
      <c r="H266" s="91"/>
    </row>
    <row r="267" spans="1:9" ht="15.75" thickBot="1" x14ac:dyDescent="0.3">
      <c r="A267" s="2" t="s">
        <v>10</v>
      </c>
      <c r="B267" s="6">
        <v>0</v>
      </c>
      <c r="C267" s="12"/>
      <c r="D267" s="6">
        <v>0</v>
      </c>
      <c r="E267" s="8" t="s">
        <v>8</v>
      </c>
      <c r="F267" s="8" t="s">
        <v>8</v>
      </c>
      <c r="G267" s="90">
        <v>0</v>
      </c>
      <c r="H267" s="91"/>
    </row>
    <row r="268" spans="1:9" ht="60.75" thickBot="1" x14ac:dyDescent="0.3">
      <c r="A268" s="2" t="s">
        <v>11</v>
      </c>
      <c r="B268" s="6">
        <f>G268*77%</f>
        <v>63369.46</v>
      </c>
      <c r="C268" s="12"/>
      <c r="D268" s="70">
        <f>G268-B268</f>
        <v>18928.54</v>
      </c>
      <c r="E268" s="8" t="s">
        <v>8</v>
      </c>
      <c r="F268" s="8" t="s">
        <v>8</v>
      </c>
      <c r="G268" s="90">
        <f>82739-441</f>
        <v>82298</v>
      </c>
      <c r="H268" s="91"/>
    </row>
    <row r="269" spans="1:9" ht="30.75" thickBot="1" x14ac:dyDescent="0.3">
      <c r="A269" s="2" t="s">
        <v>12</v>
      </c>
      <c r="B269" s="6">
        <f>G269*77%</f>
        <v>1313.6200000000001</v>
      </c>
      <c r="C269" s="12"/>
      <c r="D269" s="70">
        <f>G269-B269</f>
        <v>392.37999999999988</v>
      </c>
      <c r="E269" s="8" t="s">
        <v>8</v>
      </c>
      <c r="F269" s="8" t="s">
        <v>8</v>
      </c>
      <c r="G269" s="90">
        <f>441+919+346</f>
        <v>1706</v>
      </c>
      <c r="H269" s="91"/>
      <c r="I269" s="10">
        <f>G266+G268+G269</f>
        <v>253325</v>
      </c>
    </row>
    <row r="270" spans="1:9" ht="15.75" thickBot="1" x14ac:dyDescent="0.3">
      <c r="A270" s="2" t="s">
        <v>13</v>
      </c>
      <c r="B270" s="6">
        <f>G270*56%</f>
        <v>4453.68</v>
      </c>
      <c r="C270" s="6"/>
      <c r="D270" s="70">
        <f>G270-B270</f>
        <v>3499.3199999999997</v>
      </c>
      <c r="E270" s="8" t="s">
        <v>8</v>
      </c>
      <c r="F270" s="8" t="s">
        <v>8</v>
      </c>
      <c r="G270" s="90">
        <f>969+6984</f>
        <v>7953</v>
      </c>
      <c r="H270" s="91"/>
    </row>
    <row r="271" spans="1:9" ht="30.75" thickBot="1" x14ac:dyDescent="0.3">
      <c r="A271" s="2" t="s">
        <v>14</v>
      </c>
      <c r="B271" s="6">
        <f>G271*56%</f>
        <v>12462.800000000001</v>
      </c>
      <c r="C271" s="6"/>
      <c r="D271" s="70">
        <f>G271-B271</f>
        <v>9792.1999999999989</v>
      </c>
      <c r="E271" s="8" t="s">
        <v>8</v>
      </c>
      <c r="F271" s="8" t="s">
        <v>8</v>
      </c>
      <c r="G271" s="90">
        <f>30208-G270</f>
        <v>22255</v>
      </c>
      <c r="H271" s="91"/>
    </row>
    <row r="272" spans="1:9" ht="45.75" thickBot="1" x14ac:dyDescent="0.3">
      <c r="A272" s="2" t="s">
        <v>15</v>
      </c>
      <c r="B272" s="8" t="s">
        <v>8</v>
      </c>
      <c r="C272" s="8" t="s">
        <v>8</v>
      </c>
      <c r="D272" s="6"/>
      <c r="E272" s="8" t="s">
        <v>8</v>
      </c>
      <c r="F272" s="8" t="s">
        <v>8</v>
      </c>
      <c r="G272" s="90"/>
      <c r="H272" s="91"/>
    </row>
    <row r="273" spans="1:11" ht="15.75" thickBot="1" x14ac:dyDescent="0.3">
      <c r="A273" s="2" t="s">
        <v>16</v>
      </c>
      <c r="B273" s="8" t="s">
        <v>8</v>
      </c>
      <c r="C273" s="8" t="s">
        <v>8</v>
      </c>
      <c r="D273" s="12"/>
      <c r="E273" s="6"/>
      <c r="F273" s="6"/>
      <c r="G273" s="90"/>
      <c r="H273" s="91"/>
    </row>
    <row r="274" spans="1:11" ht="15.75" thickBot="1" x14ac:dyDescent="0.3">
      <c r="A274" s="3" t="s">
        <v>17</v>
      </c>
      <c r="B274" s="6">
        <f>G274*56%</f>
        <v>2843.6800000000003</v>
      </c>
      <c r="C274" s="8"/>
      <c r="D274" s="6"/>
      <c r="E274" s="6">
        <f>G274-B274</f>
        <v>2234.3199999999997</v>
      </c>
      <c r="F274" s="6"/>
      <c r="G274" s="90">
        <v>5078</v>
      </c>
      <c r="H274" s="91"/>
    </row>
    <row r="275" spans="1:11" ht="15.75" thickBot="1" x14ac:dyDescent="0.3">
      <c r="A275" s="3" t="s">
        <v>18</v>
      </c>
      <c r="B275" s="6"/>
      <c r="C275" s="8"/>
      <c r="D275" s="8"/>
      <c r="E275" s="6"/>
      <c r="F275" s="6"/>
      <c r="G275" s="90"/>
      <c r="H275" s="91"/>
    </row>
    <row r="276" spans="1:11" ht="45.75" thickBot="1" x14ac:dyDescent="0.3">
      <c r="A276" s="2" t="s">
        <v>19</v>
      </c>
      <c r="B276" s="6"/>
      <c r="C276" s="8"/>
      <c r="D276" s="6"/>
      <c r="E276" s="6"/>
      <c r="F276" s="6"/>
      <c r="G276" s="94"/>
      <c r="H276" s="95"/>
      <c r="J276" s="10">
        <f>G270+G271+G273+G278+G279+I269+G277</f>
        <v>398698</v>
      </c>
    </row>
    <row r="277" spans="1:11" ht="30.75" thickBot="1" x14ac:dyDescent="0.3">
      <c r="A277" s="2" t="s">
        <v>20</v>
      </c>
      <c r="B277" s="6"/>
      <c r="C277" s="8"/>
      <c r="D277" s="6"/>
      <c r="E277" s="6">
        <f>G277</f>
        <v>57234</v>
      </c>
      <c r="F277" s="6"/>
      <c r="G277" s="90">
        <v>57234</v>
      </c>
      <c r="H277" s="91"/>
    </row>
    <row r="278" spans="1:11" ht="30.75" thickBot="1" x14ac:dyDescent="0.3">
      <c r="A278" s="2" t="s">
        <v>21</v>
      </c>
      <c r="B278" s="6">
        <f>G278*56%</f>
        <v>16542.960000000003</v>
      </c>
      <c r="C278" s="6"/>
      <c r="D278" s="70">
        <f>G278-B278</f>
        <v>12998.039999999997</v>
      </c>
      <c r="E278" s="8" t="s">
        <v>8</v>
      </c>
      <c r="F278" s="8" t="s">
        <v>8</v>
      </c>
      <c r="G278" s="90">
        <f>34402-G274+217</f>
        <v>29541</v>
      </c>
      <c r="H278" s="91"/>
      <c r="J278" s="10">
        <f>G277-G209</f>
        <v>57234</v>
      </c>
    </row>
    <row r="279" spans="1:11" ht="15.75" thickBot="1" x14ac:dyDescent="0.3">
      <c r="A279" s="3" t="s">
        <v>22</v>
      </c>
      <c r="B279" s="6">
        <f>G279*56%</f>
        <v>15898.400000000001</v>
      </c>
      <c r="C279" s="6"/>
      <c r="D279" s="70">
        <f>G279-B279</f>
        <v>12491.599999999999</v>
      </c>
      <c r="E279" s="8" t="s">
        <v>8</v>
      </c>
      <c r="F279" s="8" t="s">
        <v>8</v>
      </c>
      <c r="G279" s="90">
        <f>14328+11116+2946</f>
        <v>28390</v>
      </c>
      <c r="H279" s="91"/>
      <c r="J279" s="10">
        <f>346543-G282</f>
        <v>-57233</v>
      </c>
    </row>
    <row r="280" spans="1:11" ht="15.75" thickBot="1" x14ac:dyDescent="0.3">
      <c r="A280" s="3" t="s">
        <v>23</v>
      </c>
      <c r="B280" s="8" t="s">
        <v>8</v>
      </c>
      <c r="C280" s="12"/>
      <c r="D280" s="8" t="s">
        <v>8</v>
      </c>
      <c r="E280" s="8" t="s">
        <v>8</v>
      </c>
      <c r="F280" s="8" t="s">
        <v>8</v>
      </c>
      <c r="G280" s="94"/>
      <c r="H280" s="95"/>
    </row>
    <row r="281" spans="1:11" ht="15.75" thickBot="1" x14ac:dyDescent="0.3">
      <c r="A281" s="3" t="s">
        <v>24</v>
      </c>
      <c r="B281" s="6"/>
      <c r="C281" s="6"/>
      <c r="D281" s="6"/>
      <c r="E281" s="8" t="s">
        <v>8</v>
      </c>
      <c r="F281" s="8" t="s">
        <v>8</v>
      </c>
      <c r="G281" s="90"/>
      <c r="H281" s="91"/>
    </row>
    <row r="282" spans="1:11" ht="15.75" thickBot="1" x14ac:dyDescent="0.3">
      <c r="A282" s="4" t="s">
        <v>25</v>
      </c>
      <c r="B282" s="6">
        <f>SUM(B266:B281)</f>
        <v>247261.76999999996</v>
      </c>
      <c r="C282" s="6"/>
      <c r="D282" s="6">
        <f>SUM(D266:D281)</f>
        <v>97045.91</v>
      </c>
      <c r="E282" s="6">
        <f>SUM(E266:E281)</f>
        <v>59468.32</v>
      </c>
      <c r="F282" s="6"/>
      <c r="G282" s="90">
        <f>SUM(G266:H281)</f>
        <v>403776</v>
      </c>
      <c r="H282" s="91"/>
    </row>
    <row r="283" spans="1:11" x14ac:dyDescent="0.25">
      <c r="A283" s="92" t="s">
        <v>26</v>
      </c>
      <c r="B283" s="92"/>
      <c r="C283" s="92"/>
      <c r="D283" s="92"/>
      <c r="E283" s="92"/>
      <c r="F283" s="92"/>
      <c r="G283" s="92"/>
      <c r="H283" s="92"/>
    </row>
    <row r="284" spans="1:11" x14ac:dyDescent="0.25">
      <c r="A284" s="93" t="s">
        <v>27</v>
      </c>
      <c r="B284" s="93"/>
      <c r="C284" s="93"/>
      <c r="D284" s="93"/>
      <c r="E284" s="93"/>
      <c r="F284" s="93"/>
      <c r="G284" s="93"/>
      <c r="H284" s="93"/>
    </row>
    <row r="285" spans="1:11" x14ac:dyDescent="0.25">
      <c r="A285" s="93" t="s">
        <v>28</v>
      </c>
      <c r="B285" s="93"/>
      <c r="C285" s="93"/>
      <c r="D285" s="93"/>
      <c r="E285" s="93"/>
      <c r="F285" s="93"/>
      <c r="G285" s="93"/>
      <c r="H285" s="93"/>
      <c r="K285" s="10">
        <f>G788-G783</f>
        <v>0</v>
      </c>
    </row>
    <row r="286" spans="1:11" x14ac:dyDescent="0.25">
      <c r="B286" s="10" t="s">
        <v>206</v>
      </c>
      <c r="C286" s="10">
        <v>232520</v>
      </c>
      <c r="K286" s="10">
        <f>K285-244898</f>
        <v>-244898</v>
      </c>
    </row>
    <row r="287" spans="1:11" x14ac:dyDescent="0.25">
      <c r="C287" s="10">
        <f>C286-B282</f>
        <v>-14741.76999999996</v>
      </c>
    </row>
    <row r="290" spans="1:9" x14ac:dyDescent="0.25">
      <c r="A290" s="65"/>
      <c r="B290" s="66"/>
      <c r="C290" s="66"/>
      <c r="D290" s="66"/>
      <c r="E290" s="112" t="s">
        <v>29</v>
      </c>
      <c r="F290" s="112"/>
      <c r="G290" s="112"/>
      <c r="H290" s="112"/>
    </row>
    <row r="291" spans="1:9" x14ac:dyDescent="0.25">
      <c r="A291" s="113"/>
      <c r="B291" s="114"/>
      <c r="C291" s="114"/>
      <c r="D291" s="115"/>
      <c r="E291" s="115" t="s">
        <v>0</v>
      </c>
      <c r="F291" s="115"/>
      <c r="G291" s="115"/>
      <c r="H291" s="115"/>
    </row>
    <row r="292" spans="1:9" x14ac:dyDescent="0.25">
      <c r="A292" s="113"/>
      <c r="B292" s="114"/>
      <c r="C292" s="114"/>
      <c r="D292" s="115"/>
      <c r="E292" s="128" t="s">
        <v>31</v>
      </c>
      <c r="F292" s="115"/>
      <c r="G292" s="115"/>
      <c r="H292" s="115"/>
    </row>
    <row r="293" spans="1:9" ht="15.75" thickBot="1" x14ac:dyDescent="0.3">
      <c r="A293" s="98" t="s">
        <v>207</v>
      </c>
      <c r="B293" s="98"/>
      <c r="C293" s="98"/>
      <c r="D293" s="98"/>
      <c r="E293" s="98"/>
      <c r="F293" s="98"/>
      <c r="G293" s="98"/>
      <c r="H293" s="98"/>
    </row>
    <row r="294" spans="1:9" x14ac:dyDescent="0.25">
      <c r="A294" s="100" t="s">
        <v>2</v>
      </c>
      <c r="B294" s="103" t="s">
        <v>30</v>
      </c>
      <c r="C294" s="104"/>
      <c r="D294" s="104"/>
      <c r="E294" s="104"/>
      <c r="F294" s="104"/>
      <c r="G294" s="105" t="s">
        <v>3</v>
      </c>
      <c r="H294" s="106"/>
    </row>
    <row r="295" spans="1:9" ht="135.75" thickBot="1" x14ac:dyDescent="0.3">
      <c r="A295" s="124"/>
      <c r="B295" s="105" t="s">
        <v>30</v>
      </c>
      <c r="C295" s="105"/>
      <c r="D295" s="15" t="s">
        <v>32</v>
      </c>
      <c r="E295" s="105" t="s">
        <v>4</v>
      </c>
      <c r="F295" s="105"/>
      <c r="G295" s="125"/>
      <c r="H295" s="109"/>
    </row>
    <row r="296" spans="1:9" ht="165.75" thickBot="1" x14ac:dyDescent="0.3">
      <c r="A296" s="102"/>
      <c r="B296" s="14" t="s">
        <v>36</v>
      </c>
      <c r="C296" s="69" t="s">
        <v>5</v>
      </c>
      <c r="D296" s="15" t="s">
        <v>33</v>
      </c>
      <c r="E296" s="69" t="s">
        <v>34</v>
      </c>
      <c r="F296" s="72" t="s">
        <v>35</v>
      </c>
      <c r="G296" s="110"/>
      <c r="H296" s="111"/>
    </row>
    <row r="297" spans="1:9" ht="15.75" thickBot="1" x14ac:dyDescent="0.3">
      <c r="A297" s="68">
        <v>1</v>
      </c>
      <c r="B297" s="72">
        <v>2</v>
      </c>
      <c r="C297" s="11">
        <v>3</v>
      </c>
      <c r="D297" s="72">
        <v>4</v>
      </c>
      <c r="E297" s="11">
        <v>5</v>
      </c>
      <c r="F297" s="72">
        <v>6</v>
      </c>
      <c r="G297" s="96" t="s">
        <v>6</v>
      </c>
      <c r="H297" s="97"/>
    </row>
    <row r="298" spans="1:9" ht="60.75" thickBot="1" x14ac:dyDescent="0.3">
      <c r="A298" s="2" t="s">
        <v>7</v>
      </c>
      <c r="B298" s="6">
        <f>B299</f>
        <v>147900.06</v>
      </c>
      <c r="C298" s="12"/>
      <c r="D298" s="6">
        <f>D299</f>
        <v>44177.94</v>
      </c>
      <c r="E298" s="8" t="s">
        <v>8</v>
      </c>
      <c r="F298" s="8" t="s">
        <v>8</v>
      </c>
      <c r="G298" s="90">
        <f>193546-1122-346</f>
        <v>192078</v>
      </c>
      <c r="H298" s="91"/>
    </row>
    <row r="299" spans="1:9" ht="15.75" thickBot="1" x14ac:dyDescent="0.3">
      <c r="A299" s="3" t="s">
        <v>9</v>
      </c>
      <c r="B299" s="6">
        <f>G299*77%</f>
        <v>147900.06</v>
      </c>
      <c r="C299" s="12"/>
      <c r="D299" s="70">
        <f>G299-B299</f>
        <v>44177.94</v>
      </c>
      <c r="E299" s="8" t="s">
        <v>8</v>
      </c>
      <c r="F299" s="8" t="s">
        <v>8</v>
      </c>
      <c r="G299" s="90">
        <f>G298</f>
        <v>192078</v>
      </c>
      <c r="H299" s="91"/>
    </row>
    <row r="300" spans="1:9" ht="15.75" thickBot="1" x14ac:dyDescent="0.3">
      <c r="A300" s="2" t="s">
        <v>10</v>
      </c>
      <c r="B300" s="6">
        <v>0</v>
      </c>
      <c r="C300" s="12"/>
      <c r="D300" s="6">
        <v>0</v>
      </c>
      <c r="E300" s="8" t="s">
        <v>8</v>
      </c>
      <c r="F300" s="8" t="s">
        <v>8</v>
      </c>
      <c r="G300" s="90">
        <v>0</v>
      </c>
      <c r="H300" s="91"/>
    </row>
    <row r="301" spans="1:9" ht="60.75" thickBot="1" x14ac:dyDescent="0.3">
      <c r="A301" s="2" t="s">
        <v>11</v>
      </c>
      <c r="B301" s="6">
        <f>G301*77%</f>
        <v>71945.72</v>
      </c>
      <c r="C301" s="12"/>
      <c r="D301" s="70">
        <f>G301-B301</f>
        <v>21490.28</v>
      </c>
      <c r="E301" s="8" t="s">
        <v>8</v>
      </c>
      <c r="F301" s="8" t="s">
        <v>8</v>
      </c>
      <c r="G301" s="90">
        <f>93996-560</f>
        <v>93436</v>
      </c>
      <c r="H301" s="91"/>
    </row>
    <row r="302" spans="1:9" ht="30.75" thickBot="1" x14ac:dyDescent="0.3">
      <c r="A302" s="2" t="s">
        <v>12</v>
      </c>
      <c r="B302" s="6">
        <f>G302*77%</f>
        <v>1561.56</v>
      </c>
      <c r="C302" s="12"/>
      <c r="D302" s="70">
        <f>G302-B302</f>
        <v>466.44000000000005</v>
      </c>
      <c r="E302" s="8" t="s">
        <v>8</v>
      </c>
      <c r="F302" s="8" t="s">
        <v>8</v>
      </c>
      <c r="G302" s="90">
        <f>560+1122+346</f>
        <v>2028</v>
      </c>
      <c r="H302" s="91"/>
      <c r="I302" s="10">
        <f>G299+G301+G302</f>
        <v>287542</v>
      </c>
    </row>
    <row r="303" spans="1:9" ht="15.75" thickBot="1" x14ac:dyDescent="0.3">
      <c r="A303" s="2" t="s">
        <v>13</v>
      </c>
      <c r="B303" s="6">
        <f>G303*56%</f>
        <v>4745.4400000000005</v>
      </c>
      <c r="C303" s="6"/>
      <c r="D303" s="70">
        <f>G303-B303</f>
        <v>3728.5599999999995</v>
      </c>
      <c r="E303" s="8" t="s">
        <v>8</v>
      </c>
      <c r="F303" s="8" t="s">
        <v>8</v>
      </c>
      <c r="G303" s="90">
        <f>1092+7382</f>
        <v>8474</v>
      </c>
      <c r="H303" s="91"/>
    </row>
    <row r="304" spans="1:9" ht="30.75" thickBot="1" x14ac:dyDescent="0.3">
      <c r="A304" s="2" t="s">
        <v>14</v>
      </c>
      <c r="B304" s="6">
        <f>G304*56%</f>
        <v>17918.88</v>
      </c>
      <c r="C304" s="6"/>
      <c r="D304" s="70">
        <f>G304-B304</f>
        <v>14079.119999999999</v>
      </c>
      <c r="E304" s="8" t="s">
        <v>8</v>
      </c>
      <c r="F304" s="8" t="s">
        <v>8</v>
      </c>
      <c r="G304" s="90">
        <f>40472-G303</f>
        <v>31998</v>
      </c>
      <c r="H304" s="91"/>
    </row>
    <row r="305" spans="1:11" ht="45.75" thickBot="1" x14ac:dyDescent="0.3">
      <c r="A305" s="2" t="s">
        <v>15</v>
      </c>
      <c r="B305" s="8" t="s">
        <v>8</v>
      </c>
      <c r="C305" s="8" t="s">
        <v>8</v>
      </c>
      <c r="D305" s="6"/>
      <c r="E305" s="8" t="s">
        <v>8</v>
      </c>
      <c r="F305" s="8" t="s">
        <v>8</v>
      </c>
      <c r="G305" s="90"/>
      <c r="H305" s="91"/>
    </row>
    <row r="306" spans="1:11" ht="15.75" thickBot="1" x14ac:dyDescent="0.3">
      <c r="A306" s="2" t="s">
        <v>16</v>
      </c>
      <c r="B306" s="8" t="s">
        <v>8</v>
      </c>
      <c r="C306" s="8" t="s">
        <v>8</v>
      </c>
      <c r="D306" s="12"/>
      <c r="E306" s="6">
        <v>0</v>
      </c>
      <c r="F306" s="6"/>
      <c r="G306" s="90">
        <v>0</v>
      </c>
      <c r="H306" s="91"/>
    </row>
    <row r="307" spans="1:11" ht="15.75" thickBot="1" x14ac:dyDescent="0.3">
      <c r="A307" s="3" t="s">
        <v>17</v>
      </c>
      <c r="B307" s="6">
        <f>G307*56%</f>
        <v>2843.6800000000003</v>
      </c>
      <c r="C307" s="8"/>
      <c r="D307" s="6"/>
      <c r="E307" s="6">
        <f>G307-B307</f>
        <v>2234.3199999999997</v>
      </c>
      <c r="F307" s="6"/>
      <c r="G307" s="90">
        <v>5078</v>
      </c>
      <c r="H307" s="91"/>
    </row>
    <row r="308" spans="1:11" ht="15.75" thickBot="1" x14ac:dyDescent="0.3">
      <c r="A308" s="3" t="s">
        <v>18</v>
      </c>
      <c r="B308" s="6"/>
      <c r="C308" s="8"/>
      <c r="D308" s="8"/>
      <c r="E308" s="6"/>
      <c r="F308" s="6"/>
      <c r="G308" s="90"/>
      <c r="H308" s="91"/>
    </row>
    <row r="309" spans="1:11" ht="45.75" thickBot="1" x14ac:dyDescent="0.3">
      <c r="A309" s="2" t="s">
        <v>19</v>
      </c>
      <c r="B309" s="6"/>
      <c r="C309" s="8"/>
      <c r="D309" s="6"/>
      <c r="E309" s="6"/>
      <c r="F309" s="6"/>
      <c r="G309" s="94"/>
      <c r="H309" s="95"/>
      <c r="J309" s="10">
        <f>G303+G304+G306+G311+G312+I302+G310</f>
        <v>465863</v>
      </c>
    </row>
    <row r="310" spans="1:11" ht="30.75" thickBot="1" x14ac:dyDescent="0.3">
      <c r="A310" s="2" t="s">
        <v>20</v>
      </c>
      <c r="B310" s="6"/>
      <c r="C310" s="8"/>
      <c r="D310" s="6"/>
      <c r="E310" s="6">
        <f>G310</f>
        <v>64416</v>
      </c>
      <c r="F310" s="6"/>
      <c r="G310" s="90">
        <v>64416</v>
      </c>
      <c r="H310" s="91"/>
    </row>
    <row r="311" spans="1:11" ht="30.75" thickBot="1" x14ac:dyDescent="0.3">
      <c r="A311" s="2" t="s">
        <v>21</v>
      </c>
      <c r="B311" s="6">
        <f>G311*56%</f>
        <v>24449.600000000002</v>
      </c>
      <c r="C311" s="6"/>
      <c r="D311" s="70">
        <f>G311-B311</f>
        <v>19210.399999999998</v>
      </c>
      <c r="E311" s="8" t="s">
        <v>8</v>
      </c>
      <c r="F311" s="8" t="s">
        <v>8</v>
      </c>
      <c r="G311" s="90">
        <f>48522-G307+216</f>
        <v>43660</v>
      </c>
      <c r="H311" s="91"/>
      <c r="J311" s="10">
        <f>G310-19406</f>
        <v>45010</v>
      </c>
    </row>
    <row r="312" spans="1:11" ht="15.75" thickBot="1" x14ac:dyDescent="0.3">
      <c r="A312" s="3" t="s">
        <v>22</v>
      </c>
      <c r="B312" s="6">
        <f>G312*56%</f>
        <v>16672.88</v>
      </c>
      <c r="C312" s="6"/>
      <c r="D312" s="70">
        <f>G312-B312</f>
        <v>13100.119999999999</v>
      </c>
      <c r="E312" s="8" t="s">
        <v>8</v>
      </c>
      <c r="F312" s="8" t="s">
        <v>8</v>
      </c>
      <c r="G312" s="90">
        <f>14328+12466+2979</f>
        <v>29773</v>
      </c>
      <c r="H312" s="91"/>
      <c r="J312" s="10">
        <f>406526-G315</f>
        <v>-64415</v>
      </c>
    </row>
    <row r="313" spans="1:11" ht="15.75" thickBot="1" x14ac:dyDescent="0.3">
      <c r="A313" s="3" t="s">
        <v>23</v>
      </c>
      <c r="B313" s="8" t="s">
        <v>8</v>
      </c>
      <c r="C313" s="12"/>
      <c r="D313" s="8" t="s">
        <v>8</v>
      </c>
      <c r="E313" s="8" t="s">
        <v>8</v>
      </c>
      <c r="F313" s="8" t="s">
        <v>8</v>
      </c>
      <c r="G313" s="94"/>
      <c r="H313" s="95"/>
    </row>
    <row r="314" spans="1:11" ht="15.75" thickBot="1" x14ac:dyDescent="0.3">
      <c r="A314" s="3" t="s">
        <v>24</v>
      </c>
      <c r="B314" s="6"/>
      <c r="C314" s="6"/>
      <c r="D314" s="6"/>
      <c r="E314" s="8" t="s">
        <v>8</v>
      </c>
      <c r="F314" s="8" t="s">
        <v>8</v>
      </c>
      <c r="G314" s="90"/>
      <c r="H314" s="91"/>
    </row>
    <row r="315" spans="1:11" ht="15.75" thickBot="1" x14ac:dyDescent="0.3">
      <c r="A315" s="4" t="s">
        <v>25</v>
      </c>
      <c r="B315" s="6">
        <f>SUM(B299:B314)</f>
        <v>288037.82</v>
      </c>
      <c r="C315" s="6"/>
      <c r="D315" s="6">
        <f>SUM(D299:D314)</f>
        <v>116252.85999999999</v>
      </c>
      <c r="E315" s="6">
        <f>SUM(E299:E314)</f>
        <v>66650.320000000007</v>
      </c>
      <c r="F315" s="6"/>
      <c r="G315" s="90">
        <f>SUM(G299:H314)</f>
        <v>470941</v>
      </c>
      <c r="H315" s="91"/>
    </row>
    <row r="316" spans="1:11" x14ac:dyDescent="0.25">
      <c r="A316" s="92" t="s">
        <v>26</v>
      </c>
      <c r="B316" s="92"/>
      <c r="C316" s="92"/>
      <c r="D316" s="92"/>
      <c r="E316" s="92"/>
      <c r="F316" s="92"/>
      <c r="G316" s="92"/>
      <c r="H316" s="92"/>
    </row>
    <row r="317" spans="1:11" x14ac:dyDescent="0.25">
      <c r="A317" s="93" t="s">
        <v>27</v>
      </c>
      <c r="B317" s="93"/>
      <c r="C317" s="93"/>
      <c r="D317" s="93"/>
      <c r="E317" s="93"/>
      <c r="F317" s="93"/>
      <c r="G317" s="93"/>
      <c r="H317" s="93"/>
    </row>
    <row r="318" spans="1:11" x14ac:dyDescent="0.25">
      <c r="A318" s="93" t="s">
        <v>28</v>
      </c>
      <c r="B318" s="93"/>
      <c r="C318" s="93"/>
      <c r="D318" s="93"/>
      <c r="E318" s="93"/>
      <c r="F318" s="93"/>
      <c r="G318" s="93"/>
      <c r="H318" s="93"/>
      <c r="K318" s="10">
        <f>G821-G816</f>
        <v>0</v>
      </c>
    </row>
    <row r="319" spans="1:11" x14ac:dyDescent="0.25">
      <c r="B319" s="10" t="s">
        <v>208</v>
      </c>
      <c r="C319" s="10">
        <v>255205</v>
      </c>
      <c r="K319" s="10">
        <f>K318-244898</f>
        <v>-244898</v>
      </c>
    </row>
    <row r="320" spans="1:11" x14ac:dyDescent="0.25">
      <c r="C320" s="10">
        <f>C319-B315</f>
        <v>-32832.820000000007</v>
      </c>
    </row>
    <row r="323" spans="1:9" x14ac:dyDescent="0.25">
      <c r="A323" s="65"/>
      <c r="B323" s="66"/>
      <c r="C323" s="66"/>
      <c r="D323" s="66"/>
      <c r="E323" s="112" t="s">
        <v>29</v>
      </c>
      <c r="F323" s="112"/>
      <c r="G323" s="112"/>
      <c r="H323" s="112"/>
    </row>
    <row r="324" spans="1:9" x14ac:dyDescent="0.25">
      <c r="A324" s="113"/>
      <c r="B324" s="114"/>
      <c r="C324" s="114"/>
      <c r="D324" s="115"/>
      <c r="E324" s="115" t="s">
        <v>0</v>
      </c>
      <c r="F324" s="115"/>
      <c r="G324" s="115"/>
      <c r="H324" s="115"/>
    </row>
    <row r="325" spans="1:9" x14ac:dyDescent="0.25">
      <c r="A325" s="113"/>
      <c r="B325" s="114"/>
      <c r="C325" s="114"/>
      <c r="D325" s="115"/>
      <c r="E325" s="128" t="s">
        <v>31</v>
      </c>
      <c r="F325" s="115"/>
      <c r="G325" s="115"/>
      <c r="H325" s="115"/>
    </row>
    <row r="326" spans="1:9" ht="15.75" thickBot="1" x14ac:dyDescent="0.3">
      <c r="A326" s="98" t="s">
        <v>209</v>
      </c>
      <c r="B326" s="98"/>
      <c r="C326" s="98"/>
      <c r="D326" s="98"/>
      <c r="E326" s="98"/>
      <c r="F326" s="98"/>
      <c r="G326" s="98"/>
      <c r="H326" s="98"/>
    </row>
    <row r="327" spans="1:9" x14ac:dyDescent="0.25">
      <c r="A327" s="100" t="s">
        <v>2</v>
      </c>
      <c r="B327" s="103" t="s">
        <v>30</v>
      </c>
      <c r="C327" s="104"/>
      <c r="D327" s="104"/>
      <c r="E327" s="104"/>
      <c r="F327" s="104"/>
      <c r="G327" s="105" t="s">
        <v>3</v>
      </c>
      <c r="H327" s="106"/>
    </row>
    <row r="328" spans="1:9" ht="135.75" thickBot="1" x14ac:dyDescent="0.3">
      <c r="A328" s="124"/>
      <c r="B328" s="105" t="s">
        <v>30</v>
      </c>
      <c r="C328" s="105"/>
      <c r="D328" s="15" t="s">
        <v>32</v>
      </c>
      <c r="E328" s="105" t="s">
        <v>4</v>
      </c>
      <c r="F328" s="105"/>
      <c r="G328" s="125"/>
      <c r="H328" s="109"/>
    </row>
    <row r="329" spans="1:9" ht="165.75" thickBot="1" x14ac:dyDescent="0.3">
      <c r="A329" s="102"/>
      <c r="B329" s="14" t="s">
        <v>36</v>
      </c>
      <c r="C329" s="69" t="s">
        <v>5</v>
      </c>
      <c r="D329" s="15" t="s">
        <v>33</v>
      </c>
      <c r="E329" s="69" t="s">
        <v>34</v>
      </c>
      <c r="F329" s="72" t="s">
        <v>35</v>
      </c>
      <c r="G329" s="110"/>
      <c r="H329" s="111"/>
    </row>
    <row r="330" spans="1:9" ht="15.75" thickBot="1" x14ac:dyDescent="0.3">
      <c r="A330" s="68">
        <v>1</v>
      </c>
      <c r="B330" s="72">
        <v>2</v>
      </c>
      <c r="C330" s="11">
        <v>3</v>
      </c>
      <c r="D330" s="72">
        <v>4</v>
      </c>
      <c r="E330" s="11">
        <v>5</v>
      </c>
      <c r="F330" s="72">
        <v>6</v>
      </c>
      <c r="G330" s="96" t="s">
        <v>6</v>
      </c>
      <c r="H330" s="97"/>
    </row>
    <row r="331" spans="1:9" ht="60.75" thickBot="1" x14ac:dyDescent="0.3">
      <c r="A331" s="2" t="s">
        <v>7</v>
      </c>
      <c r="B331" s="6">
        <f>B332</f>
        <v>166889.03</v>
      </c>
      <c r="C331" s="12"/>
      <c r="D331" s="6">
        <f>D332</f>
        <v>49849.97</v>
      </c>
      <c r="E331" s="8" t="s">
        <v>8</v>
      </c>
      <c r="F331" s="8" t="s">
        <v>8</v>
      </c>
      <c r="G331" s="90">
        <f>218373-1288-346</f>
        <v>216739</v>
      </c>
      <c r="H331" s="91"/>
    </row>
    <row r="332" spans="1:9" ht="15.75" thickBot="1" x14ac:dyDescent="0.3">
      <c r="A332" s="3" t="s">
        <v>9</v>
      </c>
      <c r="B332" s="6">
        <f>G332*77%</f>
        <v>166889.03</v>
      </c>
      <c r="C332" s="12"/>
      <c r="D332" s="70">
        <f>G332-B332</f>
        <v>49849.97</v>
      </c>
      <c r="E332" s="8" t="s">
        <v>8</v>
      </c>
      <c r="F332" s="8" t="s">
        <v>8</v>
      </c>
      <c r="G332" s="90">
        <f>G331</f>
        <v>216739</v>
      </c>
      <c r="H332" s="91"/>
    </row>
    <row r="333" spans="1:9" ht="15.75" thickBot="1" x14ac:dyDescent="0.3">
      <c r="A333" s="2" t="s">
        <v>10</v>
      </c>
      <c r="B333" s="6">
        <v>0</v>
      </c>
      <c r="C333" s="12"/>
      <c r="D333" s="6">
        <v>0</v>
      </c>
      <c r="E333" s="8" t="s">
        <v>8</v>
      </c>
      <c r="F333" s="8" t="s">
        <v>8</v>
      </c>
      <c r="G333" s="90">
        <v>0</v>
      </c>
      <c r="H333" s="91"/>
    </row>
    <row r="334" spans="1:9" ht="60.75" thickBot="1" x14ac:dyDescent="0.3">
      <c r="A334" s="2" t="s">
        <v>11</v>
      </c>
      <c r="B334" s="6">
        <f>G334*77%</f>
        <v>80568.180000000008</v>
      </c>
      <c r="C334" s="12"/>
      <c r="D334" s="70">
        <f>G334-B334</f>
        <v>24065.819999999992</v>
      </c>
      <c r="E334" s="8" t="s">
        <v>8</v>
      </c>
      <c r="F334" s="8" t="s">
        <v>8</v>
      </c>
      <c r="G334" s="90">
        <f>105272-638</f>
        <v>104634</v>
      </c>
      <c r="H334" s="91"/>
    </row>
    <row r="335" spans="1:9" ht="30.75" thickBot="1" x14ac:dyDescent="0.3">
      <c r="A335" s="2" t="s">
        <v>12</v>
      </c>
      <c r="B335" s="6">
        <f>G335*77%</f>
        <v>1749.44</v>
      </c>
      <c r="C335" s="12"/>
      <c r="D335" s="70">
        <f>G335-B335</f>
        <v>522.55999999999995</v>
      </c>
      <c r="E335" s="8" t="s">
        <v>8</v>
      </c>
      <c r="F335" s="8" t="s">
        <v>8</v>
      </c>
      <c r="G335" s="90">
        <f>346+1288+638</f>
        <v>2272</v>
      </c>
      <c r="H335" s="91"/>
      <c r="I335" s="10">
        <f>G332+G334+G335</f>
        <v>323645</v>
      </c>
    </row>
    <row r="336" spans="1:9" ht="15.75" thickBot="1" x14ac:dyDescent="0.3">
      <c r="A336" s="2" t="s">
        <v>13</v>
      </c>
      <c r="B336" s="6">
        <f>G336*56%</f>
        <v>5135.76</v>
      </c>
      <c r="C336" s="6"/>
      <c r="D336" s="70">
        <f>G336-B336</f>
        <v>4035.24</v>
      </c>
      <c r="E336" s="8" t="s">
        <v>8</v>
      </c>
      <c r="F336" s="8" t="s">
        <v>8</v>
      </c>
      <c r="G336" s="90">
        <f>1092+8079</f>
        <v>9171</v>
      </c>
      <c r="H336" s="91"/>
    </row>
    <row r="337" spans="1:11" ht="30.75" thickBot="1" x14ac:dyDescent="0.3">
      <c r="A337" s="2" t="s">
        <v>14</v>
      </c>
      <c r="B337" s="6">
        <f>G337*56%</f>
        <v>18698.960000000003</v>
      </c>
      <c r="C337" s="6"/>
      <c r="D337" s="70">
        <f>G337-B337</f>
        <v>14692.039999999997</v>
      </c>
      <c r="E337" s="8" t="s">
        <v>8</v>
      </c>
      <c r="F337" s="8" t="s">
        <v>8</v>
      </c>
      <c r="G337" s="90">
        <f>42562-G336</f>
        <v>33391</v>
      </c>
      <c r="H337" s="91"/>
    </row>
    <row r="338" spans="1:11" ht="45.75" thickBot="1" x14ac:dyDescent="0.3">
      <c r="A338" s="2" t="s">
        <v>15</v>
      </c>
      <c r="B338" s="8" t="s">
        <v>8</v>
      </c>
      <c r="C338" s="8" t="s">
        <v>8</v>
      </c>
      <c r="D338" s="6"/>
      <c r="E338" s="8" t="s">
        <v>8</v>
      </c>
      <c r="F338" s="8" t="s">
        <v>8</v>
      </c>
      <c r="G338" s="90"/>
      <c r="H338" s="91"/>
    </row>
    <row r="339" spans="1:11" ht="15.75" thickBot="1" x14ac:dyDescent="0.3">
      <c r="A339" s="2" t="s">
        <v>16</v>
      </c>
      <c r="B339" s="8" t="s">
        <v>8</v>
      </c>
      <c r="C339" s="8" t="s">
        <v>8</v>
      </c>
      <c r="D339" s="12"/>
      <c r="E339" s="6"/>
      <c r="F339" s="6"/>
      <c r="G339" s="90"/>
      <c r="H339" s="91"/>
    </row>
    <row r="340" spans="1:11" ht="15.75" thickBot="1" x14ac:dyDescent="0.3">
      <c r="A340" s="3" t="s">
        <v>17</v>
      </c>
      <c r="B340" s="6">
        <f>G340*56%</f>
        <v>2843.6800000000003</v>
      </c>
      <c r="C340" s="8"/>
      <c r="D340" s="6"/>
      <c r="E340" s="6">
        <f>G340-B340</f>
        <v>2234.3199999999997</v>
      </c>
      <c r="F340" s="6"/>
      <c r="G340" s="90">
        <v>5078</v>
      </c>
      <c r="H340" s="91"/>
    </row>
    <row r="341" spans="1:11" ht="15.75" thickBot="1" x14ac:dyDescent="0.3">
      <c r="A341" s="3" t="s">
        <v>18</v>
      </c>
      <c r="B341" s="6"/>
      <c r="C341" s="8"/>
      <c r="D341" s="8"/>
      <c r="E341" s="6"/>
      <c r="F341" s="6"/>
      <c r="G341" s="90"/>
      <c r="H341" s="91"/>
    </row>
    <row r="342" spans="1:11" ht="45.75" thickBot="1" x14ac:dyDescent="0.3">
      <c r="A342" s="2" t="s">
        <v>19</v>
      </c>
      <c r="B342" s="6"/>
      <c r="C342" s="8"/>
      <c r="D342" s="6"/>
      <c r="E342" s="6"/>
      <c r="F342" s="6"/>
      <c r="G342" s="94"/>
      <c r="H342" s="95"/>
      <c r="J342" s="10">
        <f>G336+G337+G339+G344+G345+I335+G343</f>
        <v>515062</v>
      </c>
    </row>
    <row r="343" spans="1:11" ht="30.75" thickBot="1" x14ac:dyDescent="0.3">
      <c r="A343" s="2" t="s">
        <v>20</v>
      </c>
      <c r="B343" s="6"/>
      <c r="C343" s="8"/>
      <c r="D343" s="6"/>
      <c r="E343" s="6">
        <f>G343</f>
        <v>71598</v>
      </c>
      <c r="F343" s="6"/>
      <c r="G343" s="90">
        <v>71598</v>
      </c>
      <c r="H343" s="91"/>
    </row>
    <row r="344" spans="1:11" ht="30.75" thickBot="1" x14ac:dyDescent="0.3">
      <c r="A344" s="2" t="s">
        <v>21</v>
      </c>
      <c r="B344" s="6">
        <f>G344*56%</f>
        <v>25846.800000000003</v>
      </c>
      <c r="C344" s="6"/>
      <c r="D344" s="70">
        <f>G344-B344</f>
        <v>20308.199999999997</v>
      </c>
      <c r="E344" s="8" t="s">
        <v>8</v>
      </c>
      <c r="F344" s="8" t="s">
        <v>8</v>
      </c>
      <c r="G344" s="90">
        <f>51016-G340+217</f>
        <v>46155</v>
      </c>
      <c r="H344" s="91"/>
      <c r="J344" s="10">
        <f>G343-19406</f>
        <v>52192</v>
      </c>
    </row>
    <row r="345" spans="1:11" ht="15.75" thickBot="1" x14ac:dyDescent="0.3">
      <c r="A345" s="3" t="s">
        <v>22</v>
      </c>
      <c r="B345" s="6">
        <f>G345*56%</f>
        <v>17417.120000000003</v>
      </c>
      <c r="C345" s="6"/>
      <c r="D345" s="70">
        <f>G345-B345</f>
        <v>13684.879999999997</v>
      </c>
      <c r="E345" s="8" t="s">
        <v>8</v>
      </c>
      <c r="F345" s="8" t="s">
        <v>8</v>
      </c>
      <c r="G345" s="90">
        <f>14328+13761+3013</f>
        <v>31102</v>
      </c>
      <c r="H345" s="91"/>
      <c r="J345" s="10">
        <f>448542-G348</f>
        <v>-71598</v>
      </c>
    </row>
    <row r="346" spans="1:11" ht="15.75" thickBot="1" x14ac:dyDescent="0.3">
      <c r="A346" s="3" t="s">
        <v>23</v>
      </c>
      <c r="B346" s="8" t="s">
        <v>8</v>
      </c>
      <c r="C346" s="12"/>
      <c r="D346" s="8" t="s">
        <v>8</v>
      </c>
      <c r="E346" s="8" t="s">
        <v>8</v>
      </c>
      <c r="F346" s="8" t="s">
        <v>8</v>
      </c>
      <c r="G346" s="94"/>
      <c r="H346" s="95"/>
    </row>
    <row r="347" spans="1:11" ht="15.75" thickBot="1" x14ac:dyDescent="0.3">
      <c r="A347" s="3" t="s">
        <v>24</v>
      </c>
      <c r="B347" s="6"/>
      <c r="C347" s="6"/>
      <c r="D347" s="6"/>
      <c r="E347" s="8" t="s">
        <v>8</v>
      </c>
      <c r="F347" s="8" t="s">
        <v>8</v>
      </c>
      <c r="G347" s="90"/>
      <c r="H347" s="91"/>
    </row>
    <row r="348" spans="1:11" ht="15.75" thickBot="1" x14ac:dyDescent="0.3">
      <c r="A348" s="4" t="s">
        <v>25</v>
      </c>
      <c r="B348" s="6">
        <f>SUM(B332:B347)</f>
        <v>319148.97000000003</v>
      </c>
      <c r="C348" s="6"/>
      <c r="D348" s="6">
        <f>SUM(D332:D347)</f>
        <v>127158.70999999999</v>
      </c>
      <c r="E348" s="6">
        <f>SUM(E332:E347)</f>
        <v>73832.320000000007</v>
      </c>
      <c r="F348" s="6"/>
      <c r="G348" s="90">
        <f>SUM(G332:H347)</f>
        <v>520140</v>
      </c>
      <c r="H348" s="91"/>
      <c r="J348" s="10">
        <f>362560-G348</f>
        <v>-157580</v>
      </c>
    </row>
    <row r="349" spans="1:11" x14ac:dyDescent="0.25">
      <c r="A349" s="92" t="s">
        <v>26</v>
      </c>
      <c r="B349" s="92"/>
      <c r="C349" s="92"/>
      <c r="D349" s="92"/>
      <c r="E349" s="92"/>
      <c r="F349" s="92"/>
      <c r="G349" s="92"/>
      <c r="H349" s="92"/>
    </row>
    <row r="350" spans="1:11" x14ac:dyDescent="0.25">
      <c r="A350" s="93" t="s">
        <v>27</v>
      </c>
      <c r="B350" s="93"/>
      <c r="C350" s="93"/>
      <c r="D350" s="93"/>
      <c r="E350" s="93"/>
      <c r="F350" s="93"/>
      <c r="G350" s="93"/>
      <c r="H350" s="93"/>
    </row>
    <row r="351" spans="1:11" x14ac:dyDescent="0.25">
      <c r="A351" s="93" t="s">
        <v>28</v>
      </c>
      <c r="B351" s="93"/>
      <c r="C351" s="93"/>
      <c r="D351" s="93"/>
      <c r="E351" s="93"/>
      <c r="F351" s="93"/>
      <c r="G351" s="93"/>
      <c r="H351" s="93"/>
      <c r="K351" s="10">
        <f>G854-G849</f>
        <v>0</v>
      </c>
    </row>
    <row r="352" spans="1:11" x14ac:dyDescent="0.25">
      <c r="B352" s="10" t="s">
        <v>210</v>
      </c>
      <c r="C352" s="10">
        <v>283561</v>
      </c>
      <c r="K352" s="10">
        <f>K351-244898</f>
        <v>-244898</v>
      </c>
    </row>
    <row r="353" spans="1:8" x14ac:dyDescent="0.25">
      <c r="C353" s="10">
        <f>C352-B348</f>
        <v>-35587.97000000003</v>
      </c>
    </row>
    <row r="358" spans="1:8" x14ac:dyDescent="0.25">
      <c r="A358" s="65"/>
      <c r="B358" s="66"/>
      <c r="C358" s="66"/>
      <c r="D358" s="66"/>
      <c r="E358" s="112" t="s">
        <v>29</v>
      </c>
      <c r="F358" s="112"/>
      <c r="G358" s="112"/>
      <c r="H358" s="112"/>
    </row>
    <row r="359" spans="1:8" x14ac:dyDescent="0.25">
      <c r="A359" s="113"/>
      <c r="B359" s="114"/>
      <c r="C359" s="114"/>
      <c r="D359" s="115"/>
      <c r="E359" s="115" t="s">
        <v>0</v>
      </c>
      <c r="F359" s="115"/>
      <c r="G359" s="115"/>
      <c r="H359" s="115"/>
    </row>
    <row r="360" spans="1:8" x14ac:dyDescent="0.25">
      <c r="A360" s="113"/>
      <c r="B360" s="114"/>
      <c r="C360" s="114"/>
      <c r="D360" s="115"/>
      <c r="E360" s="123" t="s">
        <v>31</v>
      </c>
      <c r="F360" s="115"/>
      <c r="G360" s="115"/>
      <c r="H360" s="115"/>
    </row>
    <row r="361" spans="1:8" ht="15.75" thickBot="1" x14ac:dyDescent="0.3">
      <c r="A361" s="98" t="s">
        <v>211</v>
      </c>
      <c r="B361" s="98"/>
      <c r="C361" s="98"/>
      <c r="D361" s="98"/>
      <c r="E361" s="98"/>
      <c r="F361" s="98"/>
      <c r="G361" s="98"/>
      <c r="H361" s="98"/>
    </row>
    <row r="362" spans="1:8" x14ac:dyDescent="0.25">
      <c r="A362" s="100" t="s">
        <v>2</v>
      </c>
      <c r="B362" s="103" t="s">
        <v>30</v>
      </c>
      <c r="C362" s="104"/>
      <c r="D362" s="104"/>
      <c r="E362" s="104"/>
      <c r="F362" s="104"/>
      <c r="G362" s="105" t="s">
        <v>3</v>
      </c>
      <c r="H362" s="106"/>
    </row>
    <row r="363" spans="1:8" ht="135.75" thickBot="1" x14ac:dyDescent="0.3">
      <c r="A363" s="124"/>
      <c r="B363" s="105" t="s">
        <v>30</v>
      </c>
      <c r="C363" s="105"/>
      <c r="D363" s="15" t="s">
        <v>32</v>
      </c>
      <c r="E363" s="105" t="s">
        <v>4</v>
      </c>
      <c r="F363" s="105"/>
      <c r="G363" s="125"/>
      <c r="H363" s="109"/>
    </row>
    <row r="364" spans="1:8" ht="165.75" thickBot="1" x14ac:dyDescent="0.3">
      <c r="A364" s="102"/>
      <c r="B364" s="14" t="s">
        <v>36</v>
      </c>
      <c r="C364" s="69" t="s">
        <v>5</v>
      </c>
      <c r="D364" s="15" t="s">
        <v>33</v>
      </c>
      <c r="E364" s="69" t="s">
        <v>34</v>
      </c>
      <c r="F364" s="72" t="s">
        <v>35</v>
      </c>
      <c r="G364" s="110"/>
      <c r="H364" s="111"/>
    </row>
    <row r="365" spans="1:8" ht="15.75" thickBot="1" x14ac:dyDescent="0.3">
      <c r="A365" s="68">
        <v>1</v>
      </c>
      <c r="B365" s="72">
        <v>2</v>
      </c>
      <c r="C365" s="11">
        <v>3</v>
      </c>
      <c r="D365" s="72">
        <v>4</v>
      </c>
      <c r="E365" s="11">
        <v>5</v>
      </c>
      <c r="F365" s="72">
        <v>6</v>
      </c>
      <c r="G365" s="96" t="s">
        <v>6</v>
      </c>
      <c r="H365" s="97"/>
    </row>
    <row r="366" spans="1:8" ht="60.75" thickBot="1" x14ac:dyDescent="0.3">
      <c r="A366" s="2" t="s">
        <v>7</v>
      </c>
      <c r="B366" s="6">
        <f>B367</f>
        <v>185730.16</v>
      </c>
      <c r="C366" s="12"/>
      <c r="D366" s="6">
        <f>D367</f>
        <v>55477.84</v>
      </c>
      <c r="E366" s="8" t="s">
        <v>8</v>
      </c>
      <c r="F366" s="8" t="s">
        <v>8</v>
      </c>
      <c r="G366" s="90">
        <f>244776-1472-346-1750</f>
        <v>241208</v>
      </c>
      <c r="H366" s="91"/>
    </row>
    <row r="367" spans="1:8" ht="15.75" thickBot="1" x14ac:dyDescent="0.3">
      <c r="A367" s="3" t="s">
        <v>9</v>
      </c>
      <c r="B367" s="6">
        <f>G367*77%</f>
        <v>185730.16</v>
      </c>
      <c r="C367" s="12"/>
      <c r="D367" s="70">
        <f>G367-B367</f>
        <v>55477.84</v>
      </c>
      <c r="E367" s="8" t="s">
        <v>8</v>
      </c>
      <c r="F367" s="8" t="s">
        <v>8</v>
      </c>
      <c r="G367" s="90">
        <f>G366</f>
        <v>241208</v>
      </c>
      <c r="H367" s="91"/>
    </row>
    <row r="368" spans="1:8" ht="15.75" thickBot="1" x14ac:dyDescent="0.3">
      <c r="A368" s="2" t="s">
        <v>10</v>
      </c>
      <c r="B368" s="6">
        <v>0</v>
      </c>
      <c r="C368" s="12"/>
      <c r="D368" s="6">
        <v>0</v>
      </c>
      <c r="E368" s="8" t="s">
        <v>8</v>
      </c>
      <c r="F368" s="8" t="s">
        <v>8</v>
      </c>
      <c r="G368" s="90">
        <v>0</v>
      </c>
      <c r="H368" s="91"/>
    </row>
    <row r="369" spans="1:11" ht="60.75" thickBot="1" x14ac:dyDescent="0.3">
      <c r="A369" s="2" t="s">
        <v>11</v>
      </c>
      <c r="B369" s="6">
        <f>G369*77%</f>
        <v>94456.67</v>
      </c>
      <c r="C369" s="12"/>
      <c r="D369" s="70">
        <f>G369-B369</f>
        <v>28214.33</v>
      </c>
      <c r="E369" s="8" t="s">
        <v>8</v>
      </c>
      <c r="F369" s="8" t="s">
        <v>8</v>
      </c>
      <c r="G369" s="90">
        <f>124787-716-1400</f>
        <v>122671</v>
      </c>
      <c r="H369" s="91"/>
    </row>
    <row r="370" spans="1:11" ht="30.75" thickBot="1" x14ac:dyDescent="0.3">
      <c r="A370" s="2" t="s">
        <v>12</v>
      </c>
      <c r="B370" s="6">
        <f>G370*77%</f>
        <v>4376.68</v>
      </c>
      <c r="C370" s="12"/>
      <c r="D370" s="70">
        <f>G370-B370</f>
        <v>1307.3199999999997</v>
      </c>
      <c r="E370" s="8" t="s">
        <v>8</v>
      </c>
      <c r="F370" s="8" t="s">
        <v>8</v>
      </c>
      <c r="G370" s="90">
        <f>716+1400+1472+346+1750</f>
        <v>5684</v>
      </c>
      <c r="H370" s="91"/>
      <c r="I370" s="10">
        <f>G367+G369+G370</f>
        <v>369563</v>
      </c>
    </row>
    <row r="371" spans="1:11" ht="15.75" thickBot="1" x14ac:dyDescent="0.3">
      <c r="A371" s="2" t="s">
        <v>13</v>
      </c>
      <c r="B371" s="6">
        <f>G371*56%</f>
        <v>6433.8400000000011</v>
      </c>
      <c r="C371" s="6"/>
      <c r="D371" s="70">
        <f>G371-B371</f>
        <v>5055.1599999999989</v>
      </c>
      <c r="E371" s="8" t="s">
        <v>8</v>
      </c>
      <c r="F371" s="8" t="s">
        <v>8</v>
      </c>
      <c r="G371" s="90">
        <f>1646+9843</f>
        <v>11489</v>
      </c>
      <c r="H371" s="91"/>
    </row>
    <row r="372" spans="1:11" ht="30.75" thickBot="1" x14ac:dyDescent="0.3">
      <c r="A372" s="2" t="s">
        <v>14</v>
      </c>
      <c r="B372" s="6">
        <f>G372*56%</f>
        <v>20359.920000000002</v>
      </c>
      <c r="C372" s="6"/>
      <c r="D372" s="70">
        <f>G372-B372</f>
        <v>15997.079999999998</v>
      </c>
      <c r="E372" s="8" t="s">
        <v>8</v>
      </c>
      <c r="F372" s="8" t="s">
        <v>8</v>
      </c>
      <c r="G372" s="90">
        <f>47846-G371</f>
        <v>36357</v>
      </c>
      <c r="H372" s="91"/>
    </row>
    <row r="373" spans="1:11" ht="45.75" thickBot="1" x14ac:dyDescent="0.3">
      <c r="A373" s="2" t="s">
        <v>15</v>
      </c>
      <c r="B373" s="8" t="s">
        <v>8</v>
      </c>
      <c r="C373" s="8" t="s">
        <v>8</v>
      </c>
      <c r="D373" s="6"/>
      <c r="E373" s="8" t="s">
        <v>8</v>
      </c>
      <c r="F373" s="8" t="s">
        <v>8</v>
      </c>
      <c r="G373" s="90"/>
      <c r="H373" s="91"/>
    </row>
    <row r="374" spans="1:11" ht="15.75" thickBot="1" x14ac:dyDescent="0.3">
      <c r="A374" s="2" t="s">
        <v>16</v>
      </c>
      <c r="B374" s="8" t="s">
        <v>8</v>
      </c>
      <c r="C374" s="8" t="s">
        <v>8</v>
      </c>
      <c r="D374" s="12"/>
      <c r="E374" s="6"/>
      <c r="F374" s="6"/>
      <c r="G374" s="90"/>
      <c r="H374" s="91"/>
    </row>
    <row r="375" spans="1:11" ht="15.75" thickBot="1" x14ac:dyDescent="0.3">
      <c r="A375" s="3" t="s">
        <v>17</v>
      </c>
      <c r="B375" s="6">
        <f>G375*56%</f>
        <v>2843.6800000000003</v>
      </c>
      <c r="C375" s="8"/>
      <c r="D375" s="6"/>
      <c r="E375" s="6">
        <f>G375-B375</f>
        <v>2234.3199999999997</v>
      </c>
      <c r="F375" s="6"/>
      <c r="G375" s="90">
        <v>5078</v>
      </c>
      <c r="H375" s="91"/>
    </row>
    <row r="376" spans="1:11" ht="15.75" thickBot="1" x14ac:dyDescent="0.3">
      <c r="A376" s="3" t="s">
        <v>18</v>
      </c>
      <c r="B376" s="6"/>
      <c r="C376" s="8"/>
      <c r="D376" s="8"/>
      <c r="E376" s="6"/>
      <c r="F376" s="6"/>
      <c r="G376" s="90"/>
      <c r="H376" s="91"/>
    </row>
    <row r="377" spans="1:11" ht="45.75" thickBot="1" x14ac:dyDescent="0.3">
      <c r="A377" s="2" t="s">
        <v>19</v>
      </c>
      <c r="B377" s="6"/>
      <c r="C377" s="8"/>
      <c r="D377" s="6"/>
      <c r="E377" s="6"/>
      <c r="F377" s="6"/>
      <c r="G377" s="94"/>
      <c r="H377" s="95"/>
      <c r="J377" s="10">
        <f>G371+G372+G374+G379+G380+I370+G378</f>
        <v>581297</v>
      </c>
    </row>
    <row r="378" spans="1:11" ht="30.75" thickBot="1" x14ac:dyDescent="0.3">
      <c r="A378" s="2" t="s">
        <v>20</v>
      </c>
      <c r="B378" s="6"/>
      <c r="C378" s="8"/>
      <c r="D378" s="6"/>
      <c r="E378" s="6">
        <v>78781</v>
      </c>
      <c r="F378" s="6"/>
      <c r="G378" s="90">
        <v>78781</v>
      </c>
      <c r="H378" s="91"/>
    </row>
    <row r="379" spans="1:11" ht="30.75" thickBot="1" x14ac:dyDescent="0.3">
      <c r="A379" s="2" t="s">
        <v>21</v>
      </c>
      <c r="B379" s="6">
        <f>G379*56%</f>
        <v>29491.840000000004</v>
      </c>
      <c r="C379" s="6"/>
      <c r="D379" s="70">
        <f>G379-B379</f>
        <v>23172.159999999996</v>
      </c>
      <c r="E379" s="8" t="s">
        <v>8</v>
      </c>
      <c r="F379" s="8" t="s">
        <v>8</v>
      </c>
      <c r="G379" s="90">
        <f>53122-G375+4620</f>
        <v>52664</v>
      </c>
      <c r="H379" s="91"/>
      <c r="J379" s="10">
        <f>G378-19406</f>
        <v>59375</v>
      </c>
    </row>
    <row r="380" spans="1:11" ht="15.75" thickBot="1" x14ac:dyDescent="0.3">
      <c r="A380" s="3" t="s">
        <v>22</v>
      </c>
      <c r="B380" s="6">
        <f>G380*56%</f>
        <v>18168.080000000002</v>
      </c>
      <c r="C380" s="6"/>
      <c r="D380" s="70">
        <f>G380-B380</f>
        <v>14274.919999999998</v>
      </c>
      <c r="E380" s="8" t="s">
        <v>8</v>
      </c>
      <c r="F380" s="8" t="s">
        <v>8</v>
      </c>
      <c r="G380" s="90">
        <f>14328+15085+3030</f>
        <v>32443</v>
      </c>
      <c r="H380" s="91"/>
      <c r="J380" s="10">
        <f>507593-G383</f>
        <v>-78782</v>
      </c>
      <c r="K380" s="10">
        <f>J379+J383</f>
        <v>-99564</v>
      </c>
    </row>
    <row r="381" spans="1:11" ht="15.75" thickBot="1" x14ac:dyDescent="0.3">
      <c r="A381" s="3" t="s">
        <v>23</v>
      </c>
      <c r="B381" s="8" t="s">
        <v>8</v>
      </c>
      <c r="C381" s="12"/>
      <c r="D381" s="8" t="s">
        <v>8</v>
      </c>
      <c r="E381" s="8" t="s">
        <v>8</v>
      </c>
      <c r="F381" s="8" t="s">
        <v>8</v>
      </c>
      <c r="G381" s="94"/>
      <c r="H381" s="95"/>
    </row>
    <row r="382" spans="1:11" ht="15.75" thickBot="1" x14ac:dyDescent="0.3">
      <c r="A382" s="3" t="s">
        <v>24</v>
      </c>
      <c r="B382" s="6"/>
      <c r="C382" s="6"/>
      <c r="D382" s="6"/>
      <c r="E382" s="8" t="s">
        <v>8</v>
      </c>
      <c r="F382" s="8" t="s">
        <v>8</v>
      </c>
      <c r="G382" s="90"/>
      <c r="H382" s="91"/>
    </row>
    <row r="383" spans="1:11" ht="15.75" thickBot="1" x14ac:dyDescent="0.3">
      <c r="A383" s="4" t="s">
        <v>25</v>
      </c>
      <c r="B383" s="6">
        <f>SUM(B367:B382)</f>
        <v>361860.87000000005</v>
      </c>
      <c r="C383" s="6"/>
      <c r="D383" s="6">
        <f>SUM(D367:D382)</f>
        <v>143498.81</v>
      </c>
      <c r="E383" s="6">
        <f>SUM(E367:E382)</f>
        <v>81015.320000000007</v>
      </c>
      <c r="F383" s="6"/>
      <c r="G383" s="90">
        <f>SUM(G367:H382)</f>
        <v>586375</v>
      </c>
      <c r="H383" s="91"/>
      <c r="J383" s="10">
        <f>427436-G383</f>
        <v>-158939</v>
      </c>
    </row>
    <row r="384" spans="1:11" x14ac:dyDescent="0.25">
      <c r="A384" s="92" t="s">
        <v>26</v>
      </c>
      <c r="B384" s="92"/>
      <c r="C384" s="92"/>
      <c r="D384" s="92"/>
      <c r="E384" s="92"/>
      <c r="F384" s="92"/>
      <c r="G384" s="92"/>
      <c r="H384" s="92"/>
    </row>
    <row r="385" spans="1:11" x14ac:dyDescent="0.25">
      <c r="A385" s="93" t="s">
        <v>27</v>
      </c>
      <c r="B385" s="93"/>
      <c r="C385" s="93"/>
      <c r="D385" s="93"/>
      <c r="E385" s="93"/>
      <c r="F385" s="93"/>
      <c r="G385" s="93"/>
      <c r="H385" s="93"/>
    </row>
    <row r="386" spans="1:11" x14ac:dyDescent="0.25">
      <c r="A386" s="93" t="s">
        <v>28</v>
      </c>
      <c r="B386" s="93"/>
      <c r="C386" s="93"/>
      <c r="D386" s="93"/>
      <c r="E386" s="93"/>
      <c r="F386" s="93"/>
      <c r="G386" s="93"/>
      <c r="H386" s="93"/>
      <c r="K386" s="10">
        <f>G889-G884</f>
        <v>0</v>
      </c>
    </row>
    <row r="387" spans="1:11" x14ac:dyDescent="0.25">
      <c r="B387" s="10" t="s">
        <v>212</v>
      </c>
      <c r="C387" s="10">
        <v>326544</v>
      </c>
      <c r="K387" s="10">
        <f>K386-244898</f>
        <v>-244898</v>
      </c>
    </row>
    <row r="388" spans="1:11" x14ac:dyDescent="0.25">
      <c r="C388" s="10">
        <f>C387-B383</f>
        <v>-35316.870000000054</v>
      </c>
    </row>
    <row r="394" spans="1:11" x14ac:dyDescent="0.25">
      <c r="A394" s="65"/>
      <c r="B394" s="66"/>
      <c r="C394" s="66"/>
      <c r="D394" s="66"/>
      <c r="E394" s="112"/>
      <c r="F394" s="112"/>
      <c r="G394" s="112"/>
      <c r="H394" s="112"/>
    </row>
    <row r="395" spans="1:11" ht="11.45" customHeight="1" x14ac:dyDescent="0.25">
      <c r="A395" s="113"/>
      <c r="B395" s="114"/>
      <c r="C395" s="114"/>
      <c r="D395" s="115"/>
      <c r="E395" s="115"/>
      <c r="F395" s="115"/>
      <c r="G395" s="115"/>
      <c r="H395" s="115"/>
    </row>
    <row r="396" spans="1:11" ht="11.45" customHeight="1" x14ac:dyDescent="0.25">
      <c r="A396" s="113"/>
      <c r="B396" s="114"/>
      <c r="C396" s="114"/>
      <c r="D396" s="115"/>
      <c r="E396" s="67"/>
      <c r="F396" s="67"/>
      <c r="G396" s="67"/>
      <c r="H396" s="67"/>
    </row>
    <row r="397" spans="1:11" x14ac:dyDescent="0.25">
      <c r="A397" s="113"/>
      <c r="B397" s="114"/>
      <c r="C397" s="114"/>
      <c r="D397" s="115"/>
      <c r="E397" s="128"/>
      <c r="F397" s="115"/>
      <c r="G397" s="115"/>
      <c r="H397" s="115"/>
    </row>
    <row r="398" spans="1:11" x14ac:dyDescent="0.25">
      <c r="A398" s="73"/>
      <c r="B398" s="74"/>
      <c r="C398" s="74"/>
      <c r="D398" s="74"/>
      <c r="E398" s="112" t="s">
        <v>29</v>
      </c>
      <c r="F398" s="112"/>
      <c r="G398" s="112"/>
      <c r="H398" s="112"/>
    </row>
    <row r="399" spans="1:11" x14ac:dyDescent="0.25">
      <c r="A399" s="113"/>
      <c r="B399" s="114"/>
      <c r="C399" s="114"/>
      <c r="D399" s="115"/>
      <c r="E399" s="115" t="s">
        <v>0</v>
      </c>
      <c r="F399" s="115"/>
      <c r="G399" s="115"/>
      <c r="H399" s="115"/>
    </row>
    <row r="400" spans="1:11" x14ac:dyDescent="0.25">
      <c r="A400" s="113"/>
      <c r="B400" s="114"/>
      <c r="C400" s="114"/>
      <c r="D400" s="115"/>
      <c r="E400" s="123" t="s">
        <v>31</v>
      </c>
      <c r="F400" s="115"/>
      <c r="G400" s="115"/>
      <c r="H400" s="115"/>
    </row>
    <row r="401" spans="1:10" ht="15.75" thickBot="1" x14ac:dyDescent="0.3">
      <c r="A401" s="99" t="s">
        <v>213</v>
      </c>
      <c r="B401" s="99"/>
      <c r="C401" s="99"/>
      <c r="D401" s="99"/>
      <c r="E401" s="99"/>
      <c r="F401" s="99"/>
      <c r="G401" s="99"/>
      <c r="H401" s="99"/>
    </row>
    <row r="402" spans="1:10" x14ac:dyDescent="0.25">
      <c r="A402" s="142" t="s">
        <v>2</v>
      </c>
      <c r="B402" s="137" t="s">
        <v>30</v>
      </c>
      <c r="C402" s="144"/>
      <c r="D402" s="144"/>
      <c r="E402" s="144"/>
      <c r="F402" s="144"/>
      <c r="G402" s="137" t="s">
        <v>3</v>
      </c>
      <c r="H402" s="138"/>
    </row>
    <row r="403" spans="1:10" ht="135" x14ac:dyDescent="0.25">
      <c r="A403" s="124"/>
      <c r="B403" s="105" t="s">
        <v>172</v>
      </c>
      <c r="C403" s="105"/>
      <c r="D403" s="69" t="s">
        <v>32</v>
      </c>
      <c r="E403" s="105" t="s">
        <v>4</v>
      </c>
      <c r="F403" s="105"/>
      <c r="G403" s="106"/>
      <c r="H403" s="139"/>
    </row>
    <row r="404" spans="1:10" ht="165.75" thickBot="1" x14ac:dyDescent="0.3">
      <c r="A404" s="143"/>
      <c r="B404" s="71" t="s">
        <v>36</v>
      </c>
      <c r="C404" s="71" t="s">
        <v>5</v>
      </c>
      <c r="D404" s="71" t="s">
        <v>33</v>
      </c>
      <c r="E404" s="71" t="s">
        <v>34</v>
      </c>
      <c r="F404" s="71" t="s">
        <v>35</v>
      </c>
      <c r="G404" s="133" t="s">
        <v>6</v>
      </c>
      <c r="H404" s="134"/>
    </row>
    <row r="405" spans="1:10" ht="15.75" thickBot="1" x14ac:dyDescent="0.3">
      <c r="A405" s="68">
        <v>1</v>
      </c>
      <c r="B405" s="72">
        <v>2</v>
      </c>
      <c r="C405" s="11">
        <v>3</v>
      </c>
      <c r="D405" s="72">
        <v>4</v>
      </c>
      <c r="E405" s="11">
        <v>5</v>
      </c>
      <c r="F405" s="72">
        <v>6</v>
      </c>
      <c r="G405" s="135">
        <v>7</v>
      </c>
      <c r="H405" s="136"/>
    </row>
    <row r="406" spans="1:10" ht="60.75" thickBot="1" x14ac:dyDescent="0.3">
      <c r="A406" s="2" t="s">
        <v>7</v>
      </c>
      <c r="B406" s="6">
        <f>B407</f>
        <v>204150.1</v>
      </c>
      <c r="C406" s="53" t="s">
        <v>8</v>
      </c>
      <c r="D406" s="6">
        <f>D407</f>
        <v>60979.899999999994</v>
      </c>
      <c r="E406" s="8" t="s">
        <v>8</v>
      </c>
      <c r="F406" s="8" t="s">
        <v>8</v>
      </c>
      <c r="G406" s="90">
        <f>268844-1750-1618-346</f>
        <v>265130</v>
      </c>
      <c r="H406" s="91"/>
    </row>
    <row r="407" spans="1:10" ht="15.75" thickBot="1" x14ac:dyDescent="0.3">
      <c r="A407" s="3" t="s">
        <v>9</v>
      </c>
      <c r="B407" s="6">
        <f>G407*77%</f>
        <v>204150.1</v>
      </c>
      <c r="C407" s="53" t="s">
        <v>8</v>
      </c>
      <c r="D407" s="70">
        <f>G407-B407</f>
        <v>60979.899999999994</v>
      </c>
      <c r="E407" s="8" t="s">
        <v>8</v>
      </c>
      <c r="F407" s="8" t="s">
        <v>8</v>
      </c>
      <c r="G407" s="90">
        <f>G406</f>
        <v>265130</v>
      </c>
      <c r="H407" s="91"/>
    </row>
    <row r="408" spans="1:10" ht="15.75" thickBot="1" x14ac:dyDescent="0.3">
      <c r="A408" s="2" t="s">
        <v>10</v>
      </c>
      <c r="B408" s="6">
        <v>0</v>
      </c>
      <c r="C408" s="53" t="s">
        <v>8</v>
      </c>
      <c r="D408" s="6">
        <v>0</v>
      </c>
      <c r="E408" s="8" t="s">
        <v>8</v>
      </c>
      <c r="F408" s="8" t="s">
        <v>8</v>
      </c>
      <c r="G408" s="90">
        <v>0</v>
      </c>
      <c r="H408" s="91"/>
    </row>
    <row r="409" spans="1:10" ht="60.75" thickBot="1" x14ac:dyDescent="0.3">
      <c r="A409" s="2" t="s">
        <v>11</v>
      </c>
      <c r="B409" s="6">
        <f>G409*77%</f>
        <v>103082.98</v>
      </c>
      <c r="C409" s="53" t="s">
        <v>8</v>
      </c>
      <c r="D409" s="70">
        <f>G409-B409</f>
        <v>30791.020000000004</v>
      </c>
      <c r="E409" s="8" t="s">
        <v>8</v>
      </c>
      <c r="F409" s="8" t="s">
        <v>8</v>
      </c>
      <c r="G409" s="90">
        <f>136051-777-1400</f>
        <v>133874</v>
      </c>
      <c r="H409" s="91"/>
    </row>
    <row r="410" spans="1:10" ht="30.75" thickBot="1" x14ac:dyDescent="0.3">
      <c r="A410" s="2" t="s">
        <v>12</v>
      </c>
      <c r="B410" s="6">
        <f>G410*77%</f>
        <v>4536.07</v>
      </c>
      <c r="C410" s="53" t="s">
        <v>8</v>
      </c>
      <c r="D410" s="70">
        <f>G410-B410</f>
        <v>1354.9300000000003</v>
      </c>
      <c r="E410" s="8" t="s">
        <v>8</v>
      </c>
      <c r="F410" s="8" t="s">
        <v>8</v>
      </c>
      <c r="G410" s="90">
        <f>777+1400+1618+346+1750</f>
        <v>5891</v>
      </c>
      <c r="H410" s="91"/>
      <c r="I410" s="10">
        <f>G407+G409+G410</f>
        <v>404895</v>
      </c>
    </row>
    <row r="411" spans="1:10" ht="15.75" thickBot="1" x14ac:dyDescent="0.3">
      <c r="A411" s="2" t="s">
        <v>13</v>
      </c>
      <c r="B411" s="6">
        <f>G411*56%</f>
        <v>7484.4000000000005</v>
      </c>
      <c r="C411" s="53" t="s">
        <v>8</v>
      </c>
      <c r="D411" s="70">
        <f>G411-B411</f>
        <v>5880.5999999999995</v>
      </c>
      <c r="E411" s="8" t="s">
        <v>8</v>
      </c>
      <c r="F411" s="8" t="s">
        <v>8</v>
      </c>
      <c r="G411" s="90">
        <f>1646+11719</f>
        <v>13365</v>
      </c>
      <c r="H411" s="91"/>
    </row>
    <row r="412" spans="1:10" ht="30.75" thickBot="1" x14ac:dyDescent="0.3">
      <c r="A412" s="2" t="s">
        <v>14</v>
      </c>
      <c r="B412" s="6">
        <f>G412*56%</f>
        <v>20911.52</v>
      </c>
      <c r="C412" s="53" t="s">
        <v>8</v>
      </c>
      <c r="D412" s="70">
        <f>G412-B412</f>
        <v>16430.48</v>
      </c>
      <c r="E412" s="8" t="s">
        <v>8</v>
      </c>
      <c r="F412" s="8" t="s">
        <v>8</v>
      </c>
      <c r="G412" s="90">
        <f>50707-G411</f>
        <v>37342</v>
      </c>
      <c r="H412" s="91"/>
      <c r="J412" s="10">
        <f>30437-G412-G411</f>
        <v>-20270</v>
      </c>
    </row>
    <row r="413" spans="1:10" ht="45.75" thickBot="1" x14ac:dyDescent="0.3">
      <c r="A413" s="2" t="s">
        <v>15</v>
      </c>
      <c r="B413" s="8" t="s">
        <v>8</v>
      </c>
      <c r="C413" s="8" t="s">
        <v>8</v>
      </c>
      <c r="D413" s="6"/>
      <c r="E413" s="8" t="s">
        <v>8</v>
      </c>
      <c r="F413" s="8" t="s">
        <v>8</v>
      </c>
      <c r="G413" s="90"/>
      <c r="H413" s="91"/>
    </row>
    <row r="414" spans="1:10" ht="15.75" thickBot="1" x14ac:dyDescent="0.3">
      <c r="A414" s="2" t="s">
        <v>16</v>
      </c>
      <c r="B414" s="8" t="s">
        <v>8</v>
      </c>
      <c r="C414" s="8" t="s">
        <v>8</v>
      </c>
      <c r="D414" s="8" t="s">
        <v>8</v>
      </c>
      <c r="E414" s="6">
        <v>0</v>
      </c>
      <c r="F414" s="6"/>
      <c r="G414" s="90">
        <v>0</v>
      </c>
      <c r="H414" s="91"/>
    </row>
    <row r="415" spans="1:10" ht="15.75" thickBot="1" x14ac:dyDescent="0.3">
      <c r="A415" s="3" t="s">
        <v>17</v>
      </c>
      <c r="B415" s="8" t="s">
        <v>8</v>
      </c>
      <c r="C415" s="8" t="s">
        <v>8</v>
      </c>
      <c r="D415" s="8" t="s">
        <v>8</v>
      </c>
      <c r="E415" s="6"/>
      <c r="F415" s="6"/>
      <c r="G415" s="90">
        <v>5078</v>
      </c>
      <c r="H415" s="91"/>
    </row>
    <row r="416" spans="1:10" ht="15.75" thickBot="1" x14ac:dyDescent="0.3">
      <c r="A416" s="3" t="s">
        <v>18</v>
      </c>
      <c r="B416" s="8" t="s">
        <v>8</v>
      </c>
      <c r="C416" s="8" t="s">
        <v>8</v>
      </c>
      <c r="D416" s="8" t="s">
        <v>8</v>
      </c>
      <c r="E416" s="6"/>
      <c r="F416" s="6"/>
      <c r="G416" s="90"/>
      <c r="H416" s="91"/>
    </row>
    <row r="417" spans="1:11" ht="45.75" thickBot="1" x14ac:dyDescent="0.3">
      <c r="A417" s="2" t="s">
        <v>19</v>
      </c>
      <c r="B417" s="8" t="s">
        <v>8</v>
      </c>
      <c r="C417" s="8" t="s">
        <v>8</v>
      </c>
      <c r="D417" s="8" t="s">
        <v>8</v>
      </c>
      <c r="E417" s="6"/>
      <c r="F417" s="6"/>
      <c r="G417" s="94"/>
      <c r="H417" s="95"/>
      <c r="J417" s="10">
        <f>G411+G412+G414+G419+G420+I410+G418</f>
        <v>630857</v>
      </c>
    </row>
    <row r="418" spans="1:11" ht="30.75" thickBot="1" x14ac:dyDescent="0.3">
      <c r="A418" s="2" t="s">
        <v>20</v>
      </c>
      <c r="B418" s="8" t="s">
        <v>8</v>
      </c>
      <c r="C418" s="8" t="s">
        <v>8</v>
      </c>
      <c r="D418" s="8" t="s">
        <v>8</v>
      </c>
      <c r="E418" s="6">
        <f>G418</f>
        <v>85963</v>
      </c>
      <c r="F418" s="6"/>
      <c r="G418" s="90">
        <v>85963</v>
      </c>
      <c r="H418" s="91"/>
    </row>
    <row r="419" spans="1:11" ht="30.75" thickBot="1" x14ac:dyDescent="0.3">
      <c r="A419" s="2" t="s">
        <v>21</v>
      </c>
      <c r="B419" s="6">
        <f>G419*56%</f>
        <v>31087.840000000004</v>
      </c>
      <c r="C419" s="8" t="s">
        <v>8</v>
      </c>
      <c r="D419" s="70">
        <f>G419-B419</f>
        <v>24426.159999999996</v>
      </c>
      <c r="E419" s="8" t="s">
        <v>8</v>
      </c>
      <c r="F419" s="8" t="s">
        <v>8</v>
      </c>
      <c r="G419" s="90">
        <f>55934-G415+4658</f>
        <v>55514</v>
      </c>
      <c r="H419" s="91"/>
      <c r="J419" s="10">
        <f>G418-19406</f>
        <v>66557</v>
      </c>
    </row>
    <row r="420" spans="1:11" ht="15.75" thickBot="1" x14ac:dyDescent="0.3">
      <c r="A420" s="3" t="s">
        <v>22</v>
      </c>
      <c r="B420" s="6">
        <f>G420*56%</f>
        <v>18915.68</v>
      </c>
      <c r="C420" s="8" t="s">
        <v>8</v>
      </c>
      <c r="D420" s="70">
        <f>G420-B420</f>
        <v>14862.32</v>
      </c>
      <c r="E420" s="8" t="s">
        <v>8</v>
      </c>
      <c r="F420" s="8" t="s">
        <v>8</v>
      </c>
      <c r="G420" s="90">
        <f>14328+16351+3099</f>
        <v>33778</v>
      </c>
      <c r="H420" s="91"/>
      <c r="J420" s="10">
        <f>549973-G423</f>
        <v>-85962</v>
      </c>
      <c r="K420" s="10">
        <f>J419+J423</f>
        <v>-101726</v>
      </c>
    </row>
    <row r="421" spans="1:11" ht="15.75" thickBot="1" x14ac:dyDescent="0.3">
      <c r="A421" s="3" t="s">
        <v>23</v>
      </c>
      <c r="B421" s="8" t="s">
        <v>8</v>
      </c>
      <c r="C421" s="8"/>
      <c r="D421" s="8" t="s">
        <v>8</v>
      </c>
      <c r="E421" s="8" t="s">
        <v>8</v>
      </c>
      <c r="F421" s="8" t="s">
        <v>8</v>
      </c>
      <c r="G421" s="94"/>
      <c r="H421" s="95"/>
    </row>
    <row r="422" spans="1:11" ht="15.75" thickBot="1" x14ac:dyDescent="0.3">
      <c r="A422" s="3" t="s">
        <v>24</v>
      </c>
      <c r="B422" s="6"/>
      <c r="C422" s="8" t="s">
        <v>8</v>
      </c>
      <c r="D422" s="6"/>
      <c r="E422" s="8" t="s">
        <v>8</v>
      </c>
      <c r="F422" s="8" t="s">
        <v>8</v>
      </c>
      <c r="G422" s="90"/>
      <c r="H422" s="91"/>
    </row>
    <row r="423" spans="1:11" ht="15.75" thickBot="1" x14ac:dyDescent="0.3">
      <c r="A423" s="4" t="s">
        <v>25</v>
      </c>
      <c r="B423" s="6">
        <f>SUM(B407:B422)</f>
        <v>390168.59000000008</v>
      </c>
      <c r="C423" s="6"/>
      <c r="D423" s="6">
        <f>SUM(D407:D422)</f>
        <v>154725.41</v>
      </c>
      <c r="E423" s="6">
        <f>SUM(E407:E422)</f>
        <v>85963</v>
      </c>
      <c r="F423" s="6"/>
      <c r="G423" s="90">
        <f>SUM(G407:H422)</f>
        <v>635935</v>
      </c>
      <c r="H423" s="91"/>
      <c r="J423" s="10">
        <f>467652-G423</f>
        <v>-168283</v>
      </c>
    </row>
    <row r="424" spans="1:11" x14ac:dyDescent="0.25">
      <c r="A424" s="129" t="s">
        <v>176</v>
      </c>
      <c r="B424" s="130"/>
      <c r="C424" s="130"/>
      <c r="D424" s="130"/>
      <c r="E424" s="130"/>
      <c r="F424" s="130"/>
      <c r="G424" s="130"/>
      <c r="H424" s="130"/>
      <c r="J424" s="10"/>
    </row>
    <row r="425" spans="1:11" x14ac:dyDescent="0.25">
      <c r="A425" s="131"/>
      <c r="B425" s="131"/>
      <c r="C425" s="131"/>
      <c r="D425" s="131"/>
      <c r="E425" s="131"/>
      <c r="F425" s="131"/>
      <c r="G425" s="131"/>
      <c r="H425" s="131"/>
      <c r="J425" s="10"/>
    </row>
    <row r="426" spans="1:11" ht="76.150000000000006" customHeight="1" thickBot="1" x14ac:dyDescent="0.3">
      <c r="A426" s="132"/>
      <c r="B426" s="132"/>
      <c r="C426" s="132"/>
      <c r="D426" s="132"/>
      <c r="E426" s="132"/>
      <c r="F426" s="132"/>
      <c r="G426" s="132"/>
      <c r="H426" s="132"/>
      <c r="J426" s="10"/>
    </row>
    <row r="427" spans="1:11" x14ac:dyDescent="0.25">
      <c r="B427" s="10" t="s">
        <v>214</v>
      </c>
      <c r="C427" s="10">
        <v>327134</v>
      </c>
      <c r="K427" s="10" t="e">
        <f>#REF!-244898</f>
        <v>#REF!</v>
      </c>
    </row>
    <row r="428" spans="1:11" x14ac:dyDescent="0.25">
      <c r="C428" s="10">
        <f>C427-B423</f>
        <v>-63034.590000000084</v>
      </c>
    </row>
    <row r="437" spans="1:8" s="32" customFormat="1" x14ac:dyDescent="0.25">
      <c r="B437" s="33"/>
      <c r="C437" s="33"/>
      <c r="D437" s="33"/>
      <c r="E437" s="33"/>
      <c r="F437" s="33"/>
      <c r="G437" s="33"/>
      <c r="H437" s="33"/>
    </row>
    <row r="438" spans="1:8" s="32" customFormat="1" x14ac:dyDescent="0.25">
      <c r="B438" s="33"/>
      <c r="C438" s="33"/>
      <c r="D438" s="33"/>
      <c r="E438" s="33"/>
      <c r="F438" s="33"/>
      <c r="G438" s="33"/>
      <c r="H438" s="33"/>
    </row>
    <row r="440" spans="1:8" ht="15" hidden="1" customHeight="1" x14ac:dyDescent="0.25">
      <c r="A440" s="65"/>
      <c r="B440" s="66"/>
      <c r="C440" s="66"/>
      <c r="D440" s="66"/>
      <c r="E440" s="112" t="s">
        <v>29</v>
      </c>
      <c r="F440" s="112"/>
      <c r="G440" s="112"/>
      <c r="H440" s="112"/>
    </row>
    <row r="441" spans="1:8" ht="15" hidden="1" customHeight="1" x14ac:dyDescent="0.25">
      <c r="A441" s="113"/>
      <c r="B441" s="114"/>
      <c r="C441" s="114"/>
      <c r="D441" s="115"/>
      <c r="E441" s="115" t="s">
        <v>0</v>
      </c>
      <c r="F441" s="115"/>
      <c r="G441" s="115"/>
      <c r="H441" s="115"/>
    </row>
    <row r="442" spans="1:8" ht="15" hidden="1" customHeight="1" x14ac:dyDescent="0.25">
      <c r="A442" s="113"/>
      <c r="B442" s="114"/>
      <c r="C442" s="114"/>
      <c r="D442" s="115"/>
      <c r="E442" s="128" t="s">
        <v>31</v>
      </c>
      <c r="F442" s="128"/>
      <c r="G442" s="128"/>
      <c r="H442" s="128"/>
    </row>
    <row r="443" spans="1:8" ht="15.75" thickBot="1" x14ac:dyDescent="0.3">
      <c r="A443" s="98" t="s">
        <v>103</v>
      </c>
      <c r="B443" s="98"/>
      <c r="C443" s="98"/>
      <c r="D443" s="98"/>
      <c r="E443" s="98"/>
      <c r="F443" s="98"/>
      <c r="G443" s="98"/>
      <c r="H443" s="98"/>
    </row>
    <row r="444" spans="1:8" x14ac:dyDescent="0.25">
      <c r="A444" s="142" t="s">
        <v>2</v>
      </c>
      <c r="B444" s="103" t="s">
        <v>30</v>
      </c>
      <c r="C444" s="145"/>
      <c r="D444" s="145"/>
      <c r="E444" s="145"/>
      <c r="F444" s="146"/>
      <c r="G444" s="147" t="s">
        <v>3</v>
      </c>
      <c r="H444" s="148"/>
    </row>
    <row r="445" spans="1:8" ht="135.75" thickBot="1" x14ac:dyDescent="0.3">
      <c r="A445" s="124"/>
      <c r="B445" s="149" t="s">
        <v>30</v>
      </c>
      <c r="C445" s="150"/>
      <c r="D445" s="15" t="s">
        <v>32</v>
      </c>
      <c r="E445" s="149" t="s">
        <v>4</v>
      </c>
      <c r="F445" s="150"/>
      <c r="G445" s="151"/>
      <c r="H445" s="152"/>
    </row>
    <row r="446" spans="1:8" ht="165.75" thickBot="1" x14ac:dyDescent="0.3">
      <c r="A446" s="143"/>
      <c r="B446" s="14" t="s">
        <v>36</v>
      </c>
      <c r="C446" s="69" t="s">
        <v>5</v>
      </c>
      <c r="D446" s="15" t="s">
        <v>33</v>
      </c>
      <c r="E446" s="69" t="s">
        <v>34</v>
      </c>
      <c r="F446" s="72" t="s">
        <v>35</v>
      </c>
      <c r="G446" s="110"/>
      <c r="H446" s="111"/>
    </row>
    <row r="447" spans="1:8" ht="15.75" thickBot="1" x14ac:dyDescent="0.3">
      <c r="A447" s="68">
        <v>1</v>
      </c>
      <c r="B447" s="72">
        <v>2</v>
      </c>
      <c r="C447" s="11">
        <v>3</v>
      </c>
      <c r="D447" s="72">
        <v>4</v>
      </c>
      <c r="E447" s="11">
        <v>5</v>
      </c>
      <c r="F447" s="72">
        <v>6</v>
      </c>
      <c r="G447" s="96" t="s">
        <v>6</v>
      </c>
      <c r="H447" s="97"/>
    </row>
    <row r="448" spans="1:8" ht="60.75" thickBot="1" x14ac:dyDescent="0.3">
      <c r="A448" s="2" t="s">
        <v>7</v>
      </c>
      <c r="B448" s="6">
        <f>B449</f>
        <v>65030.35</v>
      </c>
      <c r="C448" s="12"/>
      <c r="D448" s="6">
        <f>D449</f>
        <v>19424.650000000001</v>
      </c>
      <c r="E448" s="8" t="s">
        <v>8</v>
      </c>
      <c r="F448" s="8" t="s">
        <v>8</v>
      </c>
      <c r="G448" s="90">
        <f>87470-1043-2039+67</f>
        <v>84455</v>
      </c>
      <c r="H448" s="91"/>
    </row>
    <row r="449" spans="1:9" ht="15.75" thickBot="1" x14ac:dyDescent="0.3">
      <c r="A449" s="3" t="s">
        <v>9</v>
      </c>
      <c r="B449" s="6">
        <f>G449*77%</f>
        <v>65030.35</v>
      </c>
      <c r="C449" s="12"/>
      <c r="D449" s="70">
        <f>G449-B449</f>
        <v>19424.650000000001</v>
      </c>
      <c r="E449" s="8" t="s">
        <v>8</v>
      </c>
      <c r="F449" s="8" t="s">
        <v>8</v>
      </c>
      <c r="G449" s="90">
        <f>G448</f>
        <v>84455</v>
      </c>
      <c r="H449" s="91"/>
    </row>
    <row r="450" spans="1:9" ht="15.75" thickBot="1" x14ac:dyDescent="0.3">
      <c r="A450" s="2" t="s">
        <v>10</v>
      </c>
      <c r="B450" s="6">
        <v>0</v>
      </c>
      <c r="C450" s="12"/>
      <c r="D450" s="6">
        <v>0</v>
      </c>
      <c r="E450" s="8" t="s">
        <v>8</v>
      </c>
      <c r="F450" s="8" t="s">
        <v>8</v>
      </c>
      <c r="G450" s="90">
        <v>0</v>
      </c>
      <c r="H450" s="91"/>
    </row>
    <row r="451" spans="1:9" ht="60.75" thickBot="1" x14ac:dyDescent="0.3">
      <c r="A451" s="2" t="s">
        <v>11</v>
      </c>
      <c r="B451" s="6">
        <f t="shared" ref="B451" si="4">G451*77%</f>
        <v>29831.34</v>
      </c>
      <c r="C451" s="12"/>
      <c r="D451" s="70">
        <f>G451-B451</f>
        <v>8910.66</v>
      </c>
      <c r="E451" s="8" t="s">
        <v>8</v>
      </c>
      <c r="F451" s="8" t="s">
        <v>8</v>
      </c>
      <c r="G451" s="90">
        <f>39473-731</f>
        <v>38742</v>
      </c>
      <c r="H451" s="91"/>
    </row>
    <row r="452" spans="1:9" ht="30.75" thickBot="1" x14ac:dyDescent="0.3">
      <c r="A452" s="2" t="s">
        <v>12</v>
      </c>
      <c r="B452" s="6">
        <f>G452*77%</f>
        <v>2936.01</v>
      </c>
      <c r="C452" s="12"/>
      <c r="D452" s="70">
        <f>G452-B452</f>
        <v>876.98999999999978</v>
      </c>
      <c r="E452" s="8" t="s">
        <v>8</v>
      </c>
      <c r="F452" s="8" t="s">
        <v>8</v>
      </c>
      <c r="G452" s="90">
        <f>3082+731</f>
        <v>3813</v>
      </c>
      <c r="H452" s="91"/>
      <c r="I452" s="10">
        <f>G449+G451+G452</f>
        <v>127010</v>
      </c>
    </row>
    <row r="453" spans="1:9" ht="15.75" thickBot="1" x14ac:dyDescent="0.3">
      <c r="A453" s="2" t="s">
        <v>13</v>
      </c>
      <c r="B453" s="6">
        <f>G453*56%</f>
        <v>5639.2000000000007</v>
      </c>
      <c r="C453" s="6"/>
      <c r="D453" s="70">
        <f>G453-B453</f>
        <v>4430.7999999999993</v>
      </c>
      <c r="E453" s="8" t="s">
        <v>8</v>
      </c>
      <c r="F453" s="8" t="s">
        <v>8</v>
      </c>
      <c r="G453" s="90">
        <v>10070</v>
      </c>
      <c r="H453" s="91"/>
    </row>
    <row r="454" spans="1:9" ht="30.75" thickBot="1" x14ac:dyDescent="0.3">
      <c r="A454" s="2" t="s">
        <v>14</v>
      </c>
      <c r="B454" s="6">
        <f>G454*56%</f>
        <v>3045.28</v>
      </c>
      <c r="C454" s="6"/>
      <c r="D454" s="70">
        <f>G454-B454</f>
        <v>2392.7199999999998</v>
      </c>
      <c r="E454" s="8" t="s">
        <v>8</v>
      </c>
      <c r="F454" s="8" t="s">
        <v>8</v>
      </c>
      <c r="G454" s="90">
        <f>3191+2247</f>
        <v>5438</v>
      </c>
      <c r="H454" s="91"/>
    </row>
    <row r="455" spans="1:9" ht="45.75" thickBot="1" x14ac:dyDescent="0.3">
      <c r="A455" s="2" t="s">
        <v>15</v>
      </c>
      <c r="B455" s="8" t="s">
        <v>8</v>
      </c>
      <c r="C455" s="8" t="s">
        <v>8</v>
      </c>
      <c r="D455" s="6"/>
      <c r="E455" s="8" t="s">
        <v>8</v>
      </c>
      <c r="F455" s="8" t="s">
        <v>8</v>
      </c>
      <c r="G455" s="90"/>
      <c r="H455" s="91"/>
    </row>
    <row r="456" spans="1:9" ht="15.75" thickBot="1" x14ac:dyDescent="0.3">
      <c r="A456" s="2" t="s">
        <v>16</v>
      </c>
      <c r="B456" s="8" t="s">
        <v>8</v>
      </c>
      <c r="C456" s="8" t="s">
        <v>8</v>
      </c>
      <c r="D456" s="12"/>
      <c r="E456" s="6"/>
      <c r="F456" s="6"/>
      <c r="G456" s="90"/>
      <c r="H456" s="91"/>
    </row>
    <row r="457" spans="1:9" ht="15.75" thickBot="1" x14ac:dyDescent="0.3">
      <c r="A457" s="3" t="s">
        <v>17</v>
      </c>
      <c r="B457" s="6">
        <f>G457*56%</f>
        <v>0</v>
      </c>
      <c r="C457" s="8"/>
      <c r="D457" s="6"/>
      <c r="E457" s="6">
        <f>G457-B457</f>
        <v>0</v>
      </c>
      <c r="F457" s="6"/>
      <c r="G457" s="90">
        <v>0</v>
      </c>
      <c r="H457" s="91"/>
    </row>
    <row r="458" spans="1:9" ht="15.75" thickBot="1" x14ac:dyDescent="0.3">
      <c r="A458" s="3" t="s">
        <v>18</v>
      </c>
      <c r="B458" s="6"/>
      <c r="C458" s="8"/>
      <c r="D458" s="8"/>
      <c r="E458" s="6"/>
      <c r="F458" s="6"/>
      <c r="G458" s="90"/>
      <c r="H458" s="91"/>
    </row>
    <row r="459" spans="1:9" ht="45.75" hidden="1" thickBot="1" x14ac:dyDescent="0.3">
      <c r="A459" s="2" t="s">
        <v>19</v>
      </c>
      <c r="B459" s="6"/>
      <c r="C459" s="8"/>
      <c r="D459" s="6"/>
      <c r="E459" s="6"/>
      <c r="F459" s="6"/>
      <c r="G459" s="94"/>
      <c r="H459" s="95"/>
    </row>
    <row r="460" spans="1:9" ht="30.75" hidden="1" thickBot="1" x14ac:dyDescent="0.3">
      <c r="A460" s="2" t="s">
        <v>20</v>
      </c>
      <c r="B460" s="6"/>
      <c r="C460" s="8"/>
      <c r="D460" s="6"/>
      <c r="E460" s="6">
        <v>0</v>
      </c>
      <c r="F460" s="6"/>
      <c r="G460" s="90">
        <v>18954</v>
      </c>
      <c r="H460" s="91"/>
    </row>
    <row r="461" spans="1:9" ht="30.75" hidden="1" thickBot="1" x14ac:dyDescent="0.3">
      <c r="A461" s="2" t="s">
        <v>21</v>
      </c>
      <c r="B461" s="6">
        <f>G461*56%</f>
        <v>12274.080000000002</v>
      </c>
      <c r="C461" s="6"/>
      <c r="D461" s="70">
        <f>G461-B461</f>
        <v>9643.9199999999983</v>
      </c>
      <c r="E461" s="8" t="s">
        <v>8</v>
      </c>
      <c r="F461" s="8" t="s">
        <v>8</v>
      </c>
      <c r="G461" s="90">
        <f>21269+649</f>
        <v>21918</v>
      </c>
      <c r="H461" s="91"/>
    </row>
    <row r="462" spans="1:9" ht="15.75" hidden="1" thickBot="1" x14ac:dyDescent="0.3">
      <c r="A462" s="3" t="s">
        <v>22</v>
      </c>
      <c r="B462" s="6">
        <f>G462*56%</f>
        <v>15130.640000000001</v>
      </c>
      <c r="C462" s="6"/>
      <c r="D462" s="70">
        <f>G462-B462</f>
        <v>11888.359999999999</v>
      </c>
      <c r="E462" s="8" t="s">
        <v>8</v>
      </c>
      <c r="F462" s="8" t="s">
        <v>8</v>
      </c>
      <c r="G462" s="90">
        <f>8084+10+3605+15320</f>
        <v>27019</v>
      </c>
      <c r="H462" s="91"/>
    </row>
    <row r="463" spans="1:9" ht="15.75" hidden="1" thickBot="1" x14ac:dyDescent="0.3">
      <c r="A463" s="3" t="s">
        <v>23</v>
      </c>
      <c r="B463" s="8" t="s">
        <v>8</v>
      </c>
      <c r="C463" s="12"/>
      <c r="D463" s="8" t="s">
        <v>8</v>
      </c>
      <c r="E463" s="8" t="s">
        <v>8</v>
      </c>
      <c r="F463" s="8" t="s">
        <v>8</v>
      </c>
      <c r="G463" s="94"/>
      <c r="H463" s="95"/>
    </row>
    <row r="464" spans="1:9" ht="15.75" hidden="1" thickBot="1" x14ac:dyDescent="0.3">
      <c r="A464" s="3" t="s">
        <v>24</v>
      </c>
      <c r="B464" s="6"/>
      <c r="C464" s="6"/>
      <c r="D464" s="6"/>
      <c r="E464" s="8" t="s">
        <v>8</v>
      </c>
      <c r="F464" s="8" t="s">
        <v>8</v>
      </c>
      <c r="G464" s="90"/>
      <c r="H464" s="91"/>
    </row>
    <row r="465" spans="1:11" ht="15.75" hidden="1" thickBot="1" x14ac:dyDescent="0.3">
      <c r="A465" s="4" t="s">
        <v>25</v>
      </c>
      <c r="B465" s="6">
        <f>SUM(B449:B464)</f>
        <v>133886.9</v>
      </c>
      <c r="C465" s="6"/>
      <c r="D465" s="6">
        <f>SUM(D449:D464)</f>
        <v>57568.100000000006</v>
      </c>
      <c r="E465" s="6">
        <f>SUM(E449:E464)</f>
        <v>0</v>
      </c>
      <c r="F465" s="6"/>
      <c r="G465" s="90">
        <f>SUM(G449:H464)</f>
        <v>210409</v>
      </c>
      <c r="H465" s="91"/>
    </row>
    <row r="466" spans="1:11" hidden="1" x14ac:dyDescent="0.25">
      <c r="A466" s="92" t="s">
        <v>26</v>
      </c>
      <c r="B466" s="92"/>
      <c r="C466" s="92"/>
      <c r="D466" s="92"/>
      <c r="E466" s="92"/>
      <c r="F466" s="92"/>
      <c r="G466" s="92"/>
      <c r="H466" s="92"/>
    </row>
    <row r="467" spans="1:11" hidden="1" x14ac:dyDescent="0.25">
      <c r="A467" s="93" t="s">
        <v>27</v>
      </c>
      <c r="B467" s="93"/>
      <c r="C467" s="93"/>
      <c r="D467" s="93"/>
      <c r="E467" s="93"/>
      <c r="F467" s="93"/>
      <c r="G467" s="93"/>
      <c r="H467" s="93"/>
    </row>
    <row r="468" spans="1:11" hidden="1" x14ac:dyDescent="0.25">
      <c r="A468" s="93" t="s">
        <v>28</v>
      </c>
      <c r="B468" s="93"/>
      <c r="C468" s="93"/>
      <c r="D468" s="93"/>
      <c r="E468" s="93"/>
      <c r="F468" s="93"/>
      <c r="G468" s="93"/>
      <c r="H468" s="93"/>
      <c r="K468" s="10" t="e">
        <f>#REF!-#REF!</f>
        <v>#REF!</v>
      </c>
    </row>
    <row r="469" spans="1:11" hidden="1" x14ac:dyDescent="0.25">
      <c r="B469" s="10" t="s">
        <v>106</v>
      </c>
      <c r="C469" s="10">
        <v>124022</v>
      </c>
      <c r="K469" s="10" t="e">
        <f>K468-244898</f>
        <v>#REF!</v>
      </c>
    </row>
    <row r="470" spans="1:11" hidden="1" x14ac:dyDescent="0.25">
      <c r="C470" s="10">
        <f>C469-B465</f>
        <v>-9864.8999999999942</v>
      </c>
    </row>
    <row r="471" spans="1:11" hidden="1" x14ac:dyDescent="0.25"/>
    <row r="472" spans="1:11" hidden="1" x14ac:dyDescent="0.25"/>
    <row r="473" spans="1:11" hidden="1" x14ac:dyDescent="0.25"/>
    <row r="474" spans="1:11" hidden="1" x14ac:dyDescent="0.25">
      <c r="A474" s="65"/>
      <c r="B474" s="66"/>
      <c r="C474" s="66"/>
      <c r="D474" s="66"/>
      <c r="E474" s="112" t="s">
        <v>29</v>
      </c>
      <c r="F474" s="112"/>
      <c r="G474" s="112"/>
      <c r="H474" s="112"/>
    </row>
    <row r="475" spans="1:11" x14ac:dyDescent="0.25">
      <c r="A475" s="113"/>
      <c r="B475" s="114"/>
      <c r="C475" s="114"/>
      <c r="D475" s="115"/>
      <c r="E475" s="115" t="s">
        <v>0</v>
      </c>
      <c r="F475" s="115"/>
      <c r="G475" s="115"/>
      <c r="H475" s="115"/>
    </row>
    <row r="476" spans="1:11" x14ac:dyDescent="0.25">
      <c r="A476" s="113"/>
      <c r="B476" s="114"/>
      <c r="C476" s="114"/>
      <c r="D476" s="115"/>
      <c r="E476" s="128" t="s">
        <v>31</v>
      </c>
      <c r="F476" s="115"/>
      <c r="G476" s="115"/>
      <c r="H476" s="115"/>
    </row>
    <row r="477" spans="1:11" ht="15.75" thickBot="1" x14ac:dyDescent="0.3">
      <c r="A477" s="98" t="s">
        <v>104</v>
      </c>
      <c r="B477" s="98"/>
      <c r="C477" s="98"/>
      <c r="D477" s="98"/>
      <c r="E477" s="98"/>
      <c r="F477" s="98"/>
      <c r="G477" s="98"/>
      <c r="H477" s="98"/>
    </row>
    <row r="478" spans="1:11" x14ac:dyDescent="0.25">
      <c r="A478" s="100" t="s">
        <v>2</v>
      </c>
      <c r="B478" s="103" t="s">
        <v>30</v>
      </c>
      <c r="C478" s="104"/>
      <c r="D478" s="104"/>
      <c r="E478" s="104"/>
      <c r="F478" s="104"/>
      <c r="G478" s="105" t="s">
        <v>3</v>
      </c>
      <c r="H478" s="106"/>
    </row>
    <row r="479" spans="1:11" ht="135.75" thickBot="1" x14ac:dyDescent="0.3">
      <c r="A479" s="124"/>
      <c r="B479" s="105" t="s">
        <v>30</v>
      </c>
      <c r="C479" s="105"/>
      <c r="D479" s="15" t="s">
        <v>32</v>
      </c>
      <c r="E479" s="105" t="s">
        <v>4</v>
      </c>
      <c r="F479" s="105"/>
      <c r="G479" s="125"/>
      <c r="H479" s="109"/>
    </row>
    <row r="480" spans="1:11" ht="165.75" thickBot="1" x14ac:dyDescent="0.3">
      <c r="A480" s="102"/>
      <c r="B480" s="14" t="s">
        <v>36</v>
      </c>
      <c r="C480" s="69" t="s">
        <v>5</v>
      </c>
      <c r="D480" s="15" t="s">
        <v>33</v>
      </c>
      <c r="E480" s="69" t="s">
        <v>34</v>
      </c>
      <c r="F480" s="72" t="s">
        <v>35</v>
      </c>
      <c r="G480" s="110"/>
      <c r="H480" s="111"/>
    </row>
    <row r="481" spans="1:9" ht="15.75" thickBot="1" x14ac:dyDescent="0.3">
      <c r="A481" s="68">
        <v>1</v>
      </c>
      <c r="B481" s="72">
        <v>2</v>
      </c>
      <c r="C481" s="11">
        <v>3</v>
      </c>
      <c r="D481" s="72">
        <v>4</v>
      </c>
      <c r="E481" s="11">
        <v>5</v>
      </c>
      <c r="F481" s="72">
        <v>6</v>
      </c>
      <c r="G481" s="96" t="s">
        <v>6</v>
      </c>
      <c r="H481" s="97"/>
    </row>
    <row r="482" spans="1:9" ht="60.75" thickBot="1" x14ac:dyDescent="0.3">
      <c r="A482" s="2" t="s">
        <v>7</v>
      </c>
      <c r="B482" s="6">
        <f>B483</f>
        <v>72182.11</v>
      </c>
      <c r="C482" s="12"/>
      <c r="D482" s="6">
        <f>D483</f>
        <v>21560.89</v>
      </c>
      <c r="E482" s="8" t="s">
        <v>8</v>
      </c>
      <c r="F482" s="8" t="s">
        <v>8</v>
      </c>
      <c r="G482" s="90">
        <f>96927-1176-2074+66</f>
        <v>93743</v>
      </c>
      <c r="H482" s="91"/>
    </row>
    <row r="483" spans="1:9" ht="15.75" thickBot="1" x14ac:dyDescent="0.3">
      <c r="A483" s="3" t="s">
        <v>9</v>
      </c>
      <c r="B483" s="6">
        <f>G483*77%</f>
        <v>72182.11</v>
      </c>
      <c r="C483" s="12"/>
      <c r="D483" s="70">
        <f>G483-B483</f>
        <v>21560.89</v>
      </c>
      <c r="E483" s="8" t="s">
        <v>8</v>
      </c>
      <c r="F483" s="8" t="s">
        <v>8</v>
      </c>
      <c r="G483" s="90">
        <f>G482</f>
        <v>93743</v>
      </c>
      <c r="H483" s="91"/>
    </row>
    <row r="484" spans="1:9" ht="15.75" thickBot="1" x14ac:dyDescent="0.3">
      <c r="A484" s="2" t="s">
        <v>10</v>
      </c>
      <c r="B484" s="6">
        <v>0</v>
      </c>
      <c r="C484" s="12"/>
      <c r="D484" s="6">
        <v>0</v>
      </c>
      <c r="E484" s="8" t="s">
        <v>8</v>
      </c>
      <c r="F484" s="8" t="s">
        <v>8</v>
      </c>
      <c r="G484" s="90">
        <v>0</v>
      </c>
      <c r="H484" s="91"/>
    </row>
    <row r="485" spans="1:9" ht="60.75" thickBot="1" x14ac:dyDescent="0.3">
      <c r="A485" s="2" t="s">
        <v>11</v>
      </c>
      <c r="B485" s="6">
        <f t="shared" ref="B485" si="5">G485*77%</f>
        <v>34720.07</v>
      </c>
      <c r="C485" s="12"/>
      <c r="D485" s="70">
        <f>G485-B485</f>
        <v>10370.93</v>
      </c>
      <c r="E485" s="8" t="s">
        <v>8</v>
      </c>
      <c r="F485" s="8" t="s">
        <v>8</v>
      </c>
      <c r="G485" s="90">
        <f>45834-743</f>
        <v>45091</v>
      </c>
      <c r="H485" s="91"/>
    </row>
    <row r="486" spans="1:9" ht="30.75" thickBot="1" x14ac:dyDescent="0.3">
      <c r="A486" s="2" t="s">
        <v>12</v>
      </c>
      <c r="B486" s="6">
        <f>G486*77%</f>
        <v>3075.38</v>
      </c>
      <c r="C486" s="12"/>
      <c r="D486" s="70">
        <f>G486-B486</f>
        <v>918.61999999999989</v>
      </c>
      <c r="E486" s="8" t="s">
        <v>8</v>
      </c>
      <c r="F486" s="8" t="s">
        <v>8</v>
      </c>
      <c r="G486" s="90">
        <f>1176+2075+743</f>
        <v>3994</v>
      </c>
      <c r="H486" s="91"/>
      <c r="I486" s="10">
        <f>G483+G485+G486</f>
        <v>142828</v>
      </c>
    </row>
    <row r="487" spans="1:9" ht="15.75" thickBot="1" x14ac:dyDescent="0.3">
      <c r="A487" s="2" t="s">
        <v>13</v>
      </c>
      <c r="B487" s="6">
        <f>G487*56%</f>
        <v>7473.7600000000011</v>
      </c>
      <c r="C487" s="6"/>
      <c r="D487" s="70">
        <f>G487-B487</f>
        <v>5872.2399999999989</v>
      </c>
      <c r="E487" s="8" t="s">
        <v>8</v>
      </c>
      <c r="F487" s="8" t="s">
        <v>8</v>
      </c>
      <c r="G487" s="90">
        <v>13346</v>
      </c>
      <c r="H487" s="91"/>
    </row>
    <row r="488" spans="1:9" ht="30.75" thickBot="1" x14ac:dyDescent="0.3">
      <c r="A488" s="2" t="s">
        <v>14</v>
      </c>
      <c r="B488" s="6">
        <f>G488*56%</f>
        <v>3152.8</v>
      </c>
      <c r="C488" s="6"/>
      <c r="D488" s="70">
        <f>G488-B488</f>
        <v>2477.1999999999998</v>
      </c>
      <c r="E488" s="8" t="s">
        <v>8</v>
      </c>
      <c r="F488" s="8" t="s">
        <v>8</v>
      </c>
      <c r="G488" s="90">
        <f>3383+2247</f>
        <v>5630</v>
      </c>
      <c r="H488" s="91"/>
    </row>
    <row r="489" spans="1:9" ht="45.75" thickBot="1" x14ac:dyDescent="0.3">
      <c r="A489" s="2" t="s">
        <v>15</v>
      </c>
      <c r="B489" s="8" t="s">
        <v>8</v>
      </c>
      <c r="C489" s="8" t="s">
        <v>8</v>
      </c>
      <c r="D489" s="6"/>
      <c r="E489" s="8" t="s">
        <v>8</v>
      </c>
      <c r="F489" s="8" t="s">
        <v>8</v>
      </c>
      <c r="G489" s="90"/>
      <c r="H489" s="91"/>
    </row>
    <row r="490" spans="1:9" ht="15.75" thickBot="1" x14ac:dyDescent="0.3">
      <c r="A490" s="2" t="s">
        <v>16</v>
      </c>
      <c r="B490" s="8" t="s">
        <v>8</v>
      </c>
      <c r="C490" s="8" t="s">
        <v>8</v>
      </c>
      <c r="D490" s="12"/>
      <c r="E490" s="6"/>
      <c r="F490" s="6"/>
      <c r="G490" s="90"/>
      <c r="H490" s="91"/>
    </row>
    <row r="491" spans="1:9" ht="15.75" hidden="1" thickBot="1" x14ac:dyDescent="0.3">
      <c r="A491" s="3" t="s">
        <v>17</v>
      </c>
      <c r="B491" s="6">
        <f>G491*56%</f>
        <v>0</v>
      </c>
      <c r="C491" s="8"/>
      <c r="D491" s="6"/>
      <c r="E491" s="6">
        <f>G491-B491</f>
        <v>0</v>
      </c>
      <c r="F491" s="6"/>
      <c r="G491" s="90">
        <v>0</v>
      </c>
      <c r="H491" s="91"/>
    </row>
    <row r="492" spans="1:9" ht="15.75" hidden="1" thickBot="1" x14ac:dyDescent="0.3">
      <c r="A492" s="3" t="s">
        <v>18</v>
      </c>
      <c r="B492" s="6"/>
      <c r="C492" s="8"/>
      <c r="D492" s="8"/>
      <c r="E492" s="6"/>
      <c r="F492" s="6"/>
      <c r="G492" s="90"/>
      <c r="H492" s="91"/>
    </row>
    <row r="493" spans="1:9" ht="45.75" hidden="1" thickBot="1" x14ac:dyDescent="0.3">
      <c r="A493" s="2" t="s">
        <v>19</v>
      </c>
      <c r="B493" s="6"/>
      <c r="C493" s="8"/>
      <c r="D493" s="6"/>
      <c r="E493" s="6"/>
      <c r="F493" s="6"/>
      <c r="G493" s="94"/>
      <c r="H493" s="95"/>
    </row>
    <row r="494" spans="1:9" ht="30.75" hidden="1" thickBot="1" x14ac:dyDescent="0.3">
      <c r="A494" s="2" t="s">
        <v>20</v>
      </c>
      <c r="B494" s="6"/>
      <c r="C494" s="8"/>
      <c r="D494" s="6"/>
      <c r="E494" s="6">
        <v>0</v>
      </c>
      <c r="F494" s="6"/>
      <c r="G494" s="90">
        <v>22128</v>
      </c>
      <c r="H494" s="91"/>
    </row>
    <row r="495" spans="1:9" ht="30.75" hidden="1" thickBot="1" x14ac:dyDescent="0.3">
      <c r="A495" s="2" t="s">
        <v>21</v>
      </c>
      <c r="B495" s="6">
        <f>G495*56%</f>
        <v>12863.760000000002</v>
      </c>
      <c r="C495" s="6"/>
      <c r="D495" s="70">
        <f>G495-B495</f>
        <v>10107.239999999998</v>
      </c>
      <c r="E495" s="8" t="s">
        <v>8</v>
      </c>
      <c r="F495" s="8" t="s">
        <v>8</v>
      </c>
      <c r="G495" s="90">
        <f>22322+80+569</f>
        <v>22971</v>
      </c>
      <c r="H495" s="91"/>
    </row>
    <row r="496" spans="1:9" ht="15.75" hidden="1" thickBot="1" x14ac:dyDescent="0.3">
      <c r="A496" s="3" t="s">
        <v>22</v>
      </c>
      <c r="B496" s="6">
        <f>G496*56%</f>
        <v>16068.640000000001</v>
      </c>
      <c r="C496" s="6"/>
      <c r="D496" s="70">
        <f>G496-B496</f>
        <v>12625.359999999999</v>
      </c>
      <c r="E496" s="8" t="s">
        <v>8</v>
      </c>
      <c r="F496" s="8" t="s">
        <v>8</v>
      </c>
      <c r="G496" s="90">
        <f>9735+10+3629+15320</f>
        <v>28694</v>
      </c>
      <c r="H496" s="91"/>
    </row>
    <row r="497" spans="1:11" ht="15.75" hidden="1" thickBot="1" x14ac:dyDescent="0.3">
      <c r="A497" s="3" t="s">
        <v>23</v>
      </c>
      <c r="B497" s="8" t="s">
        <v>8</v>
      </c>
      <c r="C497" s="12"/>
      <c r="D497" s="8" t="s">
        <v>8</v>
      </c>
      <c r="E497" s="8" t="s">
        <v>8</v>
      </c>
      <c r="F497" s="8" t="s">
        <v>8</v>
      </c>
      <c r="G497" s="94"/>
      <c r="H497" s="95"/>
    </row>
    <row r="498" spans="1:11" ht="15.75" hidden="1" thickBot="1" x14ac:dyDescent="0.3">
      <c r="A498" s="3" t="s">
        <v>24</v>
      </c>
      <c r="B498" s="6"/>
      <c r="C498" s="6"/>
      <c r="D498" s="6"/>
      <c r="E498" s="8" t="s">
        <v>8</v>
      </c>
      <c r="F498" s="8" t="s">
        <v>8</v>
      </c>
      <c r="G498" s="90"/>
      <c r="H498" s="91"/>
    </row>
    <row r="499" spans="1:11" ht="15.75" hidden="1" thickBot="1" x14ac:dyDescent="0.3">
      <c r="A499" s="4" t="s">
        <v>25</v>
      </c>
      <c r="B499" s="6">
        <f>SUM(B483:B498)</f>
        <v>149536.52000000002</v>
      </c>
      <c r="C499" s="6"/>
      <c r="D499" s="6">
        <f>SUM(D483:D498)</f>
        <v>63932.479999999996</v>
      </c>
      <c r="E499" s="6">
        <f>SUM(E483:E498)</f>
        <v>0</v>
      </c>
      <c r="F499" s="6"/>
      <c r="G499" s="90">
        <f>SUM(G483:H498)</f>
        <v>235597</v>
      </c>
      <c r="H499" s="91"/>
    </row>
    <row r="500" spans="1:11" hidden="1" x14ac:dyDescent="0.25">
      <c r="A500" s="92" t="s">
        <v>26</v>
      </c>
      <c r="B500" s="92"/>
      <c r="C500" s="92"/>
      <c r="D500" s="92"/>
      <c r="E500" s="92"/>
      <c r="F500" s="92"/>
      <c r="G500" s="92"/>
      <c r="H500" s="92"/>
    </row>
    <row r="501" spans="1:11" hidden="1" x14ac:dyDescent="0.25">
      <c r="A501" s="93" t="s">
        <v>27</v>
      </c>
      <c r="B501" s="93"/>
      <c r="C501" s="93"/>
      <c r="D501" s="93"/>
      <c r="E501" s="93"/>
      <c r="F501" s="93"/>
      <c r="G501" s="93"/>
      <c r="H501" s="93"/>
    </row>
    <row r="502" spans="1:11" hidden="1" x14ac:dyDescent="0.25">
      <c r="A502" s="93" t="s">
        <v>28</v>
      </c>
      <c r="B502" s="93"/>
      <c r="C502" s="93"/>
      <c r="D502" s="93"/>
      <c r="E502" s="93"/>
      <c r="F502" s="93"/>
      <c r="G502" s="93"/>
      <c r="H502" s="93"/>
      <c r="K502" s="10" t="e">
        <f>#REF!-#REF!</f>
        <v>#REF!</v>
      </c>
    </row>
    <row r="503" spans="1:11" hidden="1" x14ac:dyDescent="0.25">
      <c r="B503" s="10" t="s">
        <v>105</v>
      </c>
      <c r="C503" s="10">
        <v>140012</v>
      </c>
      <c r="K503" s="10" t="e">
        <f>K502-244898</f>
        <v>#REF!</v>
      </c>
    </row>
    <row r="504" spans="1:11" hidden="1" x14ac:dyDescent="0.25">
      <c r="C504" s="10">
        <f>C503-B499</f>
        <v>-9524.5200000000186</v>
      </c>
    </row>
    <row r="505" spans="1:11" hidden="1" x14ac:dyDescent="0.25"/>
    <row r="506" spans="1:11" hidden="1" x14ac:dyDescent="0.25"/>
    <row r="508" spans="1:11" x14ac:dyDescent="0.25">
      <c r="A508" s="65"/>
      <c r="B508" s="66"/>
      <c r="C508" s="66"/>
      <c r="D508" s="66"/>
      <c r="E508" s="112" t="s">
        <v>29</v>
      </c>
      <c r="F508" s="112"/>
      <c r="G508" s="112"/>
      <c r="H508" s="112"/>
    </row>
    <row r="509" spans="1:11" x14ac:dyDescent="0.25">
      <c r="A509" s="113"/>
      <c r="B509" s="114"/>
      <c r="C509" s="114"/>
      <c r="D509" s="115"/>
      <c r="E509" s="115" t="s">
        <v>0</v>
      </c>
      <c r="F509" s="115"/>
      <c r="G509" s="115"/>
      <c r="H509" s="115"/>
    </row>
    <row r="510" spans="1:11" x14ac:dyDescent="0.25">
      <c r="A510" s="113"/>
      <c r="B510" s="114"/>
      <c r="C510" s="114"/>
      <c r="D510" s="115"/>
      <c r="E510" s="128" t="s">
        <v>31</v>
      </c>
      <c r="F510" s="115"/>
      <c r="G510" s="115"/>
      <c r="H510" s="115"/>
    </row>
    <row r="511" spans="1:11" ht="15.75" thickBot="1" x14ac:dyDescent="0.3">
      <c r="A511" s="98" t="s">
        <v>107</v>
      </c>
      <c r="B511" s="98"/>
      <c r="C511" s="98"/>
      <c r="D511" s="98"/>
      <c r="E511" s="98"/>
      <c r="F511" s="98"/>
      <c r="G511" s="98"/>
      <c r="H511" s="98"/>
    </row>
    <row r="512" spans="1:11" x14ac:dyDescent="0.25">
      <c r="A512" s="100" t="s">
        <v>2</v>
      </c>
      <c r="B512" s="103" t="s">
        <v>30</v>
      </c>
      <c r="C512" s="104"/>
      <c r="D512" s="104"/>
      <c r="E512" s="104"/>
      <c r="F512" s="104"/>
      <c r="G512" s="105" t="s">
        <v>3</v>
      </c>
      <c r="H512" s="106"/>
    </row>
    <row r="513" spans="1:9" ht="135.75" thickBot="1" x14ac:dyDescent="0.3">
      <c r="A513" s="124"/>
      <c r="B513" s="105" t="s">
        <v>30</v>
      </c>
      <c r="C513" s="105"/>
      <c r="D513" s="15" t="s">
        <v>32</v>
      </c>
      <c r="E513" s="105" t="s">
        <v>4</v>
      </c>
      <c r="F513" s="105"/>
      <c r="G513" s="125"/>
      <c r="H513" s="109"/>
    </row>
    <row r="514" spans="1:9" ht="165.75" thickBot="1" x14ac:dyDescent="0.3">
      <c r="A514" s="102"/>
      <c r="B514" s="14" t="s">
        <v>36</v>
      </c>
      <c r="C514" s="69" t="s">
        <v>5</v>
      </c>
      <c r="D514" s="15" t="s">
        <v>33</v>
      </c>
      <c r="E514" s="69" t="s">
        <v>34</v>
      </c>
      <c r="F514" s="72" t="s">
        <v>35</v>
      </c>
      <c r="G514" s="110"/>
      <c r="H514" s="111"/>
    </row>
    <row r="515" spans="1:9" ht="15.75" thickBot="1" x14ac:dyDescent="0.3">
      <c r="A515" s="68">
        <v>1</v>
      </c>
      <c r="B515" s="72">
        <v>2</v>
      </c>
      <c r="C515" s="11">
        <v>3</v>
      </c>
      <c r="D515" s="72">
        <v>4</v>
      </c>
      <c r="E515" s="11">
        <v>5</v>
      </c>
      <c r="F515" s="72">
        <v>6</v>
      </c>
      <c r="G515" s="96" t="s">
        <v>6</v>
      </c>
      <c r="H515" s="97"/>
    </row>
    <row r="516" spans="1:9" ht="60.75" thickBot="1" x14ac:dyDescent="0.3">
      <c r="A516" s="2" t="s">
        <v>7</v>
      </c>
      <c r="B516" s="6">
        <f>B517</f>
        <v>79884.42</v>
      </c>
      <c r="C516" s="12"/>
      <c r="D516" s="6">
        <f>D517</f>
        <v>23861.58</v>
      </c>
      <c r="E516" s="8" t="s">
        <v>8</v>
      </c>
      <c r="F516" s="8" t="s">
        <v>8</v>
      </c>
      <c r="G516" s="90">
        <f>106933-1179-2075+67</f>
        <v>103746</v>
      </c>
      <c r="H516" s="91"/>
    </row>
    <row r="517" spans="1:9" ht="15.75" thickBot="1" x14ac:dyDescent="0.3">
      <c r="A517" s="3" t="s">
        <v>9</v>
      </c>
      <c r="B517" s="6">
        <f>G517*77%</f>
        <v>79884.42</v>
      </c>
      <c r="C517" s="12"/>
      <c r="D517" s="70">
        <f>G517-B517</f>
        <v>23861.58</v>
      </c>
      <c r="E517" s="8" t="s">
        <v>8</v>
      </c>
      <c r="F517" s="8" t="s">
        <v>8</v>
      </c>
      <c r="G517" s="90">
        <f>G516</f>
        <v>103746</v>
      </c>
      <c r="H517" s="91"/>
    </row>
    <row r="518" spans="1:9" ht="15.75" thickBot="1" x14ac:dyDescent="0.3">
      <c r="A518" s="2" t="s">
        <v>10</v>
      </c>
      <c r="B518" s="6">
        <v>0</v>
      </c>
      <c r="C518" s="12"/>
      <c r="D518" s="6">
        <v>0</v>
      </c>
      <c r="E518" s="8" t="s">
        <v>8</v>
      </c>
      <c r="F518" s="8" t="s">
        <v>8</v>
      </c>
      <c r="G518" s="90">
        <v>0</v>
      </c>
      <c r="H518" s="91"/>
    </row>
    <row r="519" spans="1:9" ht="60.75" thickBot="1" x14ac:dyDescent="0.3">
      <c r="A519" s="2" t="s">
        <v>11</v>
      </c>
      <c r="B519" s="6">
        <f t="shared" ref="B519" si="6">G519*77%</f>
        <v>40209.4</v>
      </c>
      <c r="C519" s="12"/>
      <c r="D519" s="70">
        <f>G519-B519</f>
        <v>12010.599999999999</v>
      </c>
      <c r="E519" s="8" t="s">
        <v>8</v>
      </c>
      <c r="F519" s="8" t="s">
        <v>8</v>
      </c>
      <c r="G519" s="90">
        <f>52993-773</f>
        <v>52220</v>
      </c>
      <c r="H519" s="91"/>
    </row>
    <row r="520" spans="1:9" ht="30.75" thickBot="1" x14ac:dyDescent="0.3">
      <c r="A520" s="2" t="s">
        <v>12</v>
      </c>
      <c r="B520" s="6">
        <f>G520*77%</f>
        <v>3100.79</v>
      </c>
      <c r="C520" s="12"/>
      <c r="D520" s="70">
        <f>G520-B520</f>
        <v>926.21</v>
      </c>
      <c r="E520" s="8" t="s">
        <v>8</v>
      </c>
      <c r="F520" s="8" t="s">
        <v>8</v>
      </c>
      <c r="G520" s="90">
        <f>1179+2075+773</f>
        <v>4027</v>
      </c>
      <c r="H520" s="91"/>
      <c r="I520" s="10">
        <f>G517+G519+G520</f>
        <v>159993</v>
      </c>
    </row>
    <row r="521" spans="1:9" ht="15.75" thickBot="1" x14ac:dyDescent="0.3">
      <c r="A521" s="2" t="s">
        <v>13</v>
      </c>
      <c r="B521" s="6">
        <f>G521*56%</f>
        <v>8611.1200000000008</v>
      </c>
      <c r="C521" s="6"/>
      <c r="D521" s="70">
        <f>G521-B521</f>
        <v>6765.8799999999992</v>
      </c>
      <c r="E521" s="8" t="s">
        <v>8</v>
      </c>
      <c r="F521" s="8" t="s">
        <v>8</v>
      </c>
      <c r="G521" s="90">
        <v>15377</v>
      </c>
      <c r="H521" s="91"/>
    </row>
    <row r="522" spans="1:9" ht="30.75" thickBot="1" x14ac:dyDescent="0.3">
      <c r="A522" s="2" t="s">
        <v>14</v>
      </c>
      <c r="B522" s="6">
        <f>G522*56%</f>
        <v>3197.6000000000004</v>
      </c>
      <c r="C522" s="6"/>
      <c r="D522" s="70">
        <f>G522-B522</f>
        <v>2512.3999999999996</v>
      </c>
      <c r="E522" s="8" t="s">
        <v>8</v>
      </c>
      <c r="F522" s="8" t="s">
        <v>8</v>
      </c>
      <c r="G522" s="90">
        <f>3383+2327</f>
        <v>5710</v>
      </c>
      <c r="H522" s="91"/>
    </row>
    <row r="523" spans="1:9" ht="45.75" hidden="1" thickBot="1" x14ac:dyDescent="0.3">
      <c r="A523" s="2" t="s">
        <v>15</v>
      </c>
      <c r="B523" s="8" t="s">
        <v>8</v>
      </c>
      <c r="C523" s="8" t="s">
        <v>8</v>
      </c>
      <c r="D523" s="6"/>
      <c r="E523" s="8" t="s">
        <v>8</v>
      </c>
      <c r="F523" s="8" t="s">
        <v>8</v>
      </c>
      <c r="G523" s="90"/>
      <c r="H523" s="91"/>
    </row>
    <row r="524" spans="1:9" ht="15.75" hidden="1" thickBot="1" x14ac:dyDescent="0.3">
      <c r="A524" s="2" t="s">
        <v>16</v>
      </c>
      <c r="B524" s="8" t="s">
        <v>8</v>
      </c>
      <c r="C524" s="8" t="s">
        <v>8</v>
      </c>
      <c r="D524" s="12"/>
      <c r="E524" s="6"/>
      <c r="F524" s="6"/>
      <c r="G524" s="90"/>
      <c r="H524" s="91"/>
    </row>
    <row r="525" spans="1:9" ht="15.75" hidden="1" thickBot="1" x14ac:dyDescent="0.3">
      <c r="A525" s="3" t="s">
        <v>17</v>
      </c>
      <c r="B525" s="6">
        <f>G525*56%</f>
        <v>0</v>
      </c>
      <c r="C525" s="8"/>
      <c r="D525" s="6"/>
      <c r="E525" s="6">
        <f>G525-B525</f>
        <v>0</v>
      </c>
      <c r="F525" s="6"/>
      <c r="G525" s="90">
        <v>0</v>
      </c>
      <c r="H525" s="91"/>
    </row>
    <row r="526" spans="1:9" ht="15.75" hidden="1" thickBot="1" x14ac:dyDescent="0.3">
      <c r="A526" s="3" t="s">
        <v>18</v>
      </c>
      <c r="B526" s="6"/>
      <c r="C526" s="8"/>
      <c r="D526" s="8"/>
      <c r="E526" s="6"/>
      <c r="F526" s="6"/>
      <c r="G526" s="90"/>
      <c r="H526" s="91"/>
    </row>
    <row r="527" spans="1:9" ht="45.75" hidden="1" thickBot="1" x14ac:dyDescent="0.3">
      <c r="A527" s="2" t="s">
        <v>19</v>
      </c>
      <c r="B527" s="6"/>
      <c r="C527" s="8"/>
      <c r="D527" s="6"/>
      <c r="E527" s="6"/>
      <c r="F527" s="6"/>
      <c r="G527" s="94"/>
      <c r="H527" s="95"/>
    </row>
    <row r="528" spans="1:9" ht="30.75" hidden="1" thickBot="1" x14ac:dyDescent="0.3">
      <c r="A528" s="2" t="s">
        <v>20</v>
      </c>
      <c r="B528" s="6"/>
      <c r="C528" s="8"/>
      <c r="D528" s="6"/>
      <c r="E528" s="6">
        <v>0</v>
      </c>
      <c r="F528" s="6"/>
      <c r="G528" s="90">
        <v>25303</v>
      </c>
      <c r="H528" s="91"/>
    </row>
    <row r="529" spans="1:11" ht="30.75" hidden="1" thickBot="1" x14ac:dyDescent="0.3">
      <c r="A529" s="2" t="s">
        <v>21</v>
      </c>
      <c r="B529" s="6">
        <f>G529*56%</f>
        <v>14236.320000000002</v>
      </c>
      <c r="C529" s="6"/>
      <c r="D529" s="70">
        <f>G529-B529</f>
        <v>11185.679999999998</v>
      </c>
      <c r="E529" s="8" t="s">
        <v>8</v>
      </c>
      <c r="F529" s="8" t="s">
        <v>8</v>
      </c>
      <c r="G529" s="90">
        <f>24612+810</f>
        <v>25422</v>
      </c>
      <c r="H529" s="91"/>
    </row>
    <row r="530" spans="1:11" ht="15.75" hidden="1" thickBot="1" x14ac:dyDescent="0.3">
      <c r="A530" s="3" t="s">
        <v>22</v>
      </c>
      <c r="B530" s="6">
        <f>G530*56%</f>
        <v>17025.68</v>
      </c>
      <c r="C530" s="6"/>
      <c r="D530" s="70">
        <f>G530-B530</f>
        <v>13377.32</v>
      </c>
      <c r="E530" s="8" t="s">
        <v>8</v>
      </c>
      <c r="F530" s="8" t="s">
        <v>8</v>
      </c>
      <c r="G530" s="90">
        <f>15320+11424+10+3649</f>
        <v>30403</v>
      </c>
      <c r="H530" s="91"/>
    </row>
    <row r="531" spans="1:11" ht="15.75" hidden="1" thickBot="1" x14ac:dyDescent="0.3">
      <c r="A531" s="3" t="s">
        <v>23</v>
      </c>
      <c r="B531" s="8" t="s">
        <v>8</v>
      </c>
      <c r="C531" s="12"/>
      <c r="D531" s="8" t="s">
        <v>8</v>
      </c>
      <c r="E531" s="8" t="s">
        <v>8</v>
      </c>
      <c r="F531" s="8" t="s">
        <v>8</v>
      </c>
      <c r="G531" s="94"/>
      <c r="H531" s="95"/>
    </row>
    <row r="532" spans="1:11" ht="15.75" hidden="1" thickBot="1" x14ac:dyDescent="0.3">
      <c r="A532" s="3" t="s">
        <v>24</v>
      </c>
      <c r="B532" s="6"/>
      <c r="C532" s="6"/>
      <c r="D532" s="6"/>
      <c r="E532" s="8" t="s">
        <v>8</v>
      </c>
      <c r="F532" s="8" t="s">
        <v>8</v>
      </c>
      <c r="G532" s="90"/>
      <c r="H532" s="91"/>
    </row>
    <row r="533" spans="1:11" ht="15.75" hidden="1" thickBot="1" x14ac:dyDescent="0.3">
      <c r="A533" s="4" t="s">
        <v>25</v>
      </c>
      <c r="B533" s="6">
        <f>SUM(B517:B532)</f>
        <v>166265.33000000002</v>
      </c>
      <c r="C533" s="6"/>
      <c r="D533" s="6">
        <f>SUM(D517:D532)</f>
        <v>70639.67</v>
      </c>
      <c r="E533" s="6">
        <f>SUM(E517:E532)</f>
        <v>0</v>
      </c>
      <c r="F533" s="6"/>
      <c r="G533" s="90">
        <f>SUM(G517:H532)</f>
        <v>262208</v>
      </c>
      <c r="H533" s="91"/>
    </row>
    <row r="534" spans="1:11" hidden="1" x14ac:dyDescent="0.25">
      <c r="A534" s="92" t="s">
        <v>26</v>
      </c>
      <c r="B534" s="92"/>
      <c r="C534" s="92"/>
      <c r="D534" s="92"/>
      <c r="E534" s="92"/>
      <c r="F534" s="92"/>
      <c r="G534" s="92"/>
      <c r="H534" s="92"/>
    </row>
    <row r="535" spans="1:11" hidden="1" x14ac:dyDescent="0.25">
      <c r="A535" s="93" t="s">
        <v>27</v>
      </c>
      <c r="B535" s="93"/>
      <c r="C535" s="93"/>
      <c r="D535" s="93"/>
      <c r="E535" s="93"/>
      <c r="F535" s="93"/>
      <c r="G535" s="93"/>
      <c r="H535" s="93"/>
    </row>
    <row r="536" spans="1:11" hidden="1" x14ac:dyDescent="0.25">
      <c r="A536" s="93" t="s">
        <v>28</v>
      </c>
      <c r="B536" s="93"/>
      <c r="C536" s="93"/>
      <c r="D536" s="93"/>
      <c r="E536" s="93"/>
      <c r="F536" s="93"/>
      <c r="G536" s="93"/>
      <c r="H536" s="93"/>
      <c r="K536" s="10" t="e">
        <f>#REF!-#REF!</f>
        <v>#REF!</v>
      </c>
    </row>
    <row r="537" spans="1:11" hidden="1" x14ac:dyDescent="0.25">
      <c r="B537" s="10" t="s">
        <v>108</v>
      </c>
      <c r="C537" s="10">
        <v>157760</v>
      </c>
      <c r="K537" s="10" t="e">
        <f>K536-244898</f>
        <v>#REF!</v>
      </c>
    </row>
    <row r="538" spans="1:11" hidden="1" x14ac:dyDescent="0.25">
      <c r="C538" s="10">
        <f>C537-B533</f>
        <v>-8505.3300000000163</v>
      </c>
    </row>
    <row r="550" spans="1:8" x14ac:dyDescent="0.25">
      <c r="A550" s="65"/>
      <c r="B550" s="66"/>
      <c r="C550" s="66"/>
      <c r="D550" s="66"/>
      <c r="E550" s="112" t="s">
        <v>29</v>
      </c>
      <c r="F550" s="112"/>
      <c r="G550" s="112"/>
      <c r="H550" s="112"/>
    </row>
    <row r="551" spans="1:8" x14ac:dyDescent="0.25">
      <c r="A551" s="113"/>
      <c r="B551" s="114"/>
      <c r="C551" s="114"/>
      <c r="D551" s="115"/>
      <c r="E551" s="115" t="s">
        <v>0</v>
      </c>
      <c r="F551" s="115"/>
      <c r="G551" s="115"/>
      <c r="H551" s="115"/>
    </row>
    <row r="552" spans="1:8" x14ac:dyDescent="0.25">
      <c r="A552" s="113"/>
      <c r="B552" s="114"/>
      <c r="C552" s="114"/>
      <c r="D552" s="115"/>
      <c r="E552" s="126" t="s">
        <v>31</v>
      </c>
      <c r="F552" s="115"/>
      <c r="G552" s="115"/>
      <c r="H552" s="115"/>
    </row>
    <row r="553" spans="1:8" ht="15.75" thickBot="1" x14ac:dyDescent="0.3">
      <c r="A553" s="98" t="s">
        <v>38</v>
      </c>
      <c r="B553" s="98"/>
      <c r="C553" s="98"/>
      <c r="D553" s="98"/>
      <c r="E553" s="98"/>
      <c r="F553" s="98"/>
      <c r="G553" s="99"/>
      <c r="H553" s="99"/>
    </row>
    <row r="554" spans="1:8" ht="15.75" thickBot="1" x14ac:dyDescent="0.3">
      <c r="A554" s="100" t="s">
        <v>2</v>
      </c>
      <c r="B554" s="103" t="s">
        <v>30</v>
      </c>
      <c r="C554" s="104"/>
      <c r="D554" s="104"/>
      <c r="E554" s="104"/>
      <c r="F554" s="104"/>
      <c r="G554" s="105" t="s">
        <v>3</v>
      </c>
      <c r="H554" s="106"/>
    </row>
    <row r="555" spans="1:8" ht="135.75" hidden="1" thickBot="1" x14ac:dyDescent="0.3">
      <c r="A555" s="124"/>
      <c r="B555" s="105" t="s">
        <v>30</v>
      </c>
      <c r="C555" s="105"/>
      <c r="D555" s="15" t="s">
        <v>32</v>
      </c>
      <c r="E555" s="105" t="s">
        <v>4</v>
      </c>
      <c r="F555" s="105"/>
      <c r="G555" s="125"/>
      <c r="H555" s="109"/>
    </row>
    <row r="556" spans="1:8" ht="165.75" hidden="1" thickBot="1" x14ac:dyDescent="0.3">
      <c r="A556" s="102"/>
      <c r="B556" s="14" t="s">
        <v>36</v>
      </c>
      <c r="C556" s="69" t="s">
        <v>5</v>
      </c>
      <c r="D556" s="15" t="s">
        <v>33</v>
      </c>
      <c r="E556" s="69" t="s">
        <v>34</v>
      </c>
      <c r="F556" s="72" t="s">
        <v>35</v>
      </c>
      <c r="G556" s="110"/>
      <c r="H556" s="111"/>
    </row>
    <row r="557" spans="1:8" ht="15.75" hidden="1" thickBot="1" x14ac:dyDescent="0.3">
      <c r="A557" s="68">
        <v>1</v>
      </c>
      <c r="B557" s="72">
        <v>2</v>
      </c>
      <c r="C557" s="16">
        <v>3</v>
      </c>
      <c r="D557" s="69">
        <v>4</v>
      </c>
      <c r="E557" s="11">
        <v>5</v>
      </c>
      <c r="F557" s="72">
        <v>6</v>
      </c>
      <c r="G557" s="96" t="s">
        <v>37</v>
      </c>
      <c r="H557" s="97"/>
    </row>
    <row r="558" spans="1:8" ht="60.75" hidden="1" thickBot="1" x14ac:dyDescent="0.3">
      <c r="A558" s="2" t="s">
        <v>7</v>
      </c>
      <c r="B558" s="6">
        <f>B559</f>
        <v>56298.479999999996</v>
      </c>
      <c r="C558" s="12"/>
      <c r="D558" s="6">
        <f>D559</f>
        <v>60924.520000000004</v>
      </c>
      <c r="E558" s="8" t="s">
        <v>8</v>
      </c>
      <c r="F558" s="8" t="s">
        <v>8</v>
      </c>
      <c r="G558" s="90">
        <f>120510-1278-2075+66</f>
        <v>117223</v>
      </c>
      <c r="H558" s="91"/>
    </row>
    <row r="559" spans="1:8" ht="15.75" hidden="1" thickBot="1" x14ac:dyDescent="0.3">
      <c r="A559" s="3" t="s">
        <v>9</v>
      </c>
      <c r="B559" s="6">
        <f>G559*76%-32791</f>
        <v>56298.479999999996</v>
      </c>
      <c r="C559" s="12"/>
      <c r="D559" s="70">
        <f>G559-B559</f>
        <v>60924.520000000004</v>
      </c>
      <c r="E559" s="8" t="s">
        <v>8</v>
      </c>
      <c r="F559" s="8" t="s">
        <v>8</v>
      </c>
      <c r="G559" s="90">
        <f>G558</f>
        <v>117223</v>
      </c>
      <c r="H559" s="91"/>
    </row>
    <row r="560" spans="1:8" ht="15.75" hidden="1" thickBot="1" x14ac:dyDescent="0.3">
      <c r="A560" s="2" t="s">
        <v>10</v>
      </c>
      <c r="B560" s="6">
        <v>0</v>
      </c>
      <c r="C560" s="12"/>
      <c r="D560" s="6">
        <v>0</v>
      </c>
      <c r="E560" s="8" t="s">
        <v>8</v>
      </c>
      <c r="F560" s="8" t="s">
        <v>8</v>
      </c>
      <c r="G560" s="90">
        <v>0</v>
      </c>
      <c r="H560" s="91"/>
    </row>
    <row r="561" spans="1:11" ht="60.75" hidden="1" thickBot="1" x14ac:dyDescent="0.3">
      <c r="A561" s="2" t="s">
        <v>11</v>
      </c>
      <c r="B561" s="6">
        <f>G561*76%</f>
        <v>45329.440000000002</v>
      </c>
      <c r="C561" s="12"/>
      <c r="D561" s="70">
        <f>G561-B561</f>
        <v>14314.559999999998</v>
      </c>
      <c r="E561" s="8" t="s">
        <v>8</v>
      </c>
      <c r="F561" s="8" t="s">
        <v>8</v>
      </c>
      <c r="G561" s="90">
        <f>60472-828</f>
        <v>59644</v>
      </c>
      <c r="H561" s="91"/>
    </row>
    <row r="562" spans="1:11" ht="30.75" hidden="1" thickBot="1" x14ac:dyDescent="0.3">
      <c r="A562" s="2" t="s">
        <v>12</v>
      </c>
      <c r="B562" s="6">
        <f>G562*76%</f>
        <v>3177.56</v>
      </c>
      <c r="C562" s="12"/>
      <c r="D562" s="70">
        <f>G562-B562</f>
        <v>1003.44</v>
      </c>
      <c r="E562" s="8" t="s">
        <v>8</v>
      </c>
      <c r="F562" s="8" t="s">
        <v>8</v>
      </c>
      <c r="G562" s="90">
        <f>1278+2075+828</f>
        <v>4181</v>
      </c>
      <c r="H562" s="91"/>
    </row>
    <row r="563" spans="1:11" ht="15.75" hidden="1" thickBot="1" x14ac:dyDescent="0.3">
      <c r="A563" s="2" t="s">
        <v>13</v>
      </c>
      <c r="B563" s="6">
        <f>G563*56%</f>
        <v>8611.1200000000008</v>
      </c>
      <c r="C563" s="6"/>
      <c r="D563" s="70">
        <f>G563-B563</f>
        <v>6765.8799999999992</v>
      </c>
      <c r="E563" s="8" t="s">
        <v>8</v>
      </c>
      <c r="F563" s="8" t="s">
        <v>8</v>
      </c>
      <c r="G563" s="90">
        <v>15377</v>
      </c>
      <c r="H563" s="91"/>
    </row>
    <row r="564" spans="1:11" ht="30.75" hidden="1" thickBot="1" x14ac:dyDescent="0.3">
      <c r="A564" s="2" t="s">
        <v>14</v>
      </c>
      <c r="B564" s="6">
        <f>G564*56%</f>
        <v>4506.88</v>
      </c>
      <c r="C564" s="6"/>
      <c r="D564" s="70">
        <f>G564-B564</f>
        <v>3541.12</v>
      </c>
      <c r="E564" s="8" t="s">
        <v>8</v>
      </c>
      <c r="F564" s="8" t="s">
        <v>8</v>
      </c>
      <c r="G564" s="90">
        <f>4824+3224</f>
        <v>8048</v>
      </c>
      <c r="H564" s="91"/>
    </row>
    <row r="565" spans="1:11" ht="45.75" hidden="1" thickBot="1" x14ac:dyDescent="0.3">
      <c r="A565" s="2" t="s">
        <v>15</v>
      </c>
      <c r="B565" s="8" t="s">
        <v>8</v>
      </c>
      <c r="C565" s="8" t="s">
        <v>8</v>
      </c>
      <c r="D565" s="6"/>
      <c r="E565" s="8" t="s">
        <v>8</v>
      </c>
      <c r="F565" s="8" t="s">
        <v>8</v>
      </c>
      <c r="G565" s="90"/>
      <c r="H565" s="91"/>
    </row>
    <row r="566" spans="1:11" ht="15.75" hidden="1" thickBot="1" x14ac:dyDescent="0.3">
      <c r="A566" s="2" t="s">
        <v>16</v>
      </c>
      <c r="B566" s="8" t="s">
        <v>8</v>
      </c>
      <c r="C566" s="8" t="s">
        <v>8</v>
      </c>
      <c r="D566" s="12"/>
      <c r="E566" s="6">
        <v>0</v>
      </c>
      <c r="F566" s="6"/>
      <c r="G566" s="90">
        <v>0</v>
      </c>
      <c r="H566" s="91"/>
    </row>
    <row r="567" spans="1:11" ht="15.75" hidden="1" thickBot="1" x14ac:dyDescent="0.3">
      <c r="A567" s="3" t="s">
        <v>17</v>
      </c>
      <c r="B567" s="6">
        <f>G567*56%</f>
        <v>0</v>
      </c>
      <c r="C567" s="8"/>
      <c r="D567" s="6"/>
      <c r="E567" s="6">
        <f>G567-B567</f>
        <v>0</v>
      </c>
      <c r="F567" s="6"/>
      <c r="G567" s="90">
        <v>0</v>
      </c>
      <c r="H567" s="91"/>
      <c r="K567" s="10">
        <f>G671+G674+G675</f>
        <v>251785</v>
      </c>
    </row>
    <row r="568" spans="1:11" ht="15.75" hidden="1" thickBot="1" x14ac:dyDescent="0.3">
      <c r="A568" s="3" t="s">
        <v>18</v>
      </c>
      <c r="B568" s="6"/>
      <c r="C568" s="8"/>
      <c r="D568" s="8"/>
      <c r="E568" s="6"/>
      <c r="F568" s="6"/>
      <c r="G568" s="90"/>
      <c r="H568" s="91"/>
      <c r="K568" s="10">
        <f>251786-K567</f>
        <v>1</v>
      </c>
    </row>
    <row r="569" spans="1:11" ht="45.75" hidden="1" thickBot="1" x14ac:dyDescent="0.3">
      <c r="A569" s="2" t="s">
        <v>19</v>
      </c>
      <c r="B569" s="6"/>
      <c r="C569" s="8"/>
      <c r="D569" s="6"/>
      <c r="E569" s="6"/>
      <c r="F569" s="6"/>
      <c r="G569" s="94"/>
      <c r="H569" s="95"/>
    </row>
    <row r="570" spans="1:11" ht="30.75" hidden="1" thickBot="1" x14ac:dyDescent="0.3">
      <c r="A570" s="2" t="s">
        <v>20</v>
      </c>
      <c r="B570" s="6">
        <f>G570*56%</f>
        <v>15947.680000000002</v>
      </c>
      <c r="C570" s="8"/>
      <c r="D570" s="6"/>
      <c r="E570" s="6">
        <f>G570-B570</f>
        <v>12530.319999999998</v>
      </c>
      <c r="F570" s="6"/>
      <c r="G570" s="90">
        <v>28478</v>
      </c>
      <c r="H570" s="91"/>
    </row>
    <row r="571" spans="1:11" ht="30.75" thickBot="1" x14ac:dyDescent="0.3">
      <c r="A571" s="2" t="s">
        <v>21</v>
      </c>
      <c r="B571" s="6">
        <f>G571*56%</f>
        <v>14820.400000000001</v>
      </c>
      <c r="C571" s="6"/>
      <c r="D571" s="70">
        <f>G571-B571</f>
        <v>11644.599999999999</v>
      </c>
      <c r="E571" s="8" t="s">
        <v>8</v>
      </c>
      <c r="F571" s="8" t="s">
        <v>8</v>
      </c>
      <c r="G571" s="90">
        <f>25189+241+1035</f>
        <v>26465</v>
      </c>
      <c r="H571" s="91"/>
    </row>
    <row r="572" spans="1:11" ht="15.75" thickBot="1" x14ac:dyDescent="0.3">
      <c r="A572" s="3" t="s">
        <v>22</v>
      </c>
      <c r="B572" s="6">
        <f>G572*56%</f>
        <v>18046.560000000001</v>
      </c>
      <c r="C572" s="6"/>
      <c r="D572" s="70">
        <f>G572-B572</f>
        <v>14179.439999999999</v>
      </c>
      <c r="E572" s="8" t="s">
        <v>8</v>
      </c>
      <c r="F572" s="8" t="s">
        <v>8</v>
      </c>
      <c r="G572" s="90">
        <f>128+13098+10+3670+15320</f>
        <v>32226</v>
      </c>
      <c r="H572" s="91"/>
    </row>
    <row r="573" spans="1:11" ht="15.75" thickBot="1" x14ac:dyDescent="0.3">
      <c r="A573" s="3" t="s">
        <v>23</v>
      </c>
      <c r="B573" s="8" t="s">
        <v>8</v>
      </c>
      <c r="C573" s="12"/>
      <c r="D573" s="8" t="s">
        <v>8</v>
      </c>
      <c r="E573" s="8" t="s">
        <v>8</v>
      </c>
      <c r="F573" s="8" t="s">
        <v>8</v>
      </c>
      <c r="G573" s="94"/>
      <c r="H573" s="95"/>
    </row>
    <row r="574" spans="1:11" ht="15.75" thickBot="1" x14ac:dyDescent="0.3">
      <c r="A574" s="3" t="s">
        <v>24</v>
      </c>
      <c r="B574" s="6">
        <f>G574*56%</f>
        <v>0</v>
      </c>
      <c r="C574" s="6"/>
      <c r="D574" s="6"/>
      <c r="E574" s="8" t="s">
        <v>8</v>
      </c>
      <c r="F574" s="8" t="s">
        <v>8</v>
      </c>
      <c r="G574" s="90"/>
      <c r="H574" s="91"/>
    </row>
    <row r="575" spans="1:11" ht="15.75" thickBot="1" x14ac:dyDescent="0.3">
      <c r="A575" s="4" t="s">
        <v>25</v>
      </c>
      <c r="B575" s="6">
        <f>SUM(B559:B574)</f>
        <v>166738.12</v>
      </c>
      <c r="C575" s="6"/>
      <c r="D575" s="6">
        <f>SUM(D559:D574)</f>
        <v>112373.56</v>
      </c>
      <c r="E575" s="6">
        <f>SUM(E559:E574)</f>
        <v>12530.319999999998</v>
      </c>
      <c r="F575" s="6"/>
      <c r="G575" s="90">
        <f>SUM(G559:H574)</f>
        <v>291642</v>
      </c>
      <c r="H575" s="91"/>
      <c r="J575" s="10">
        <f>291642-G575</f>
        <v>0</v>
      </c>
    </row>
    <row r="576" spans="1:11" x14ac:dyDescent="0.25">
      <c r="A576" s="92" t="s">
        <v>26</v>
      </c>
      <c r="B576" s="92"/>
      <c r="C576" s="92"/>
      <c r="D576" s="92"/>
      <c r="E576" s="92"/>
      <c r="F576" s="92"/>
      <c r="G576" s="92"/>
      <c r="H576" s="92"/>
    </row>
    <row r="577" spans="1:8" x14ac:dyDescent="0.25">
      <c r="A577" s="93" t="s">
        <v>27</v>
      </c>
      <c r="B577" s="93"/>
      <c r="C577" s="93"/>
      <c r="D577" s="93"/>
      <c r="E577" s="93"/>
      <c r="F577" s="93"/>
      <c r="G577" s="93"/>
      <c r="H577" s="93"/>
    </row>
    <row r="578" spans="1:8" x14ac:dyDescent="0.25">
      <c r="A578" s="93" t="s">
        <v>28</v>
      </c>
      <c r="B578" s="93"/>
      <c r="C578" s="93"/>
      <c r="D578" s="93"/>
      <c r="E578" s="93"/>
      <c r="F578" s="93"/>
      <c r="G578" s="93"/>
      <c r="H578" s="93"/>
    </row>
    <row r="579" spans="1:8" x14ac:dyDescent="0.25">
      <c r="A579" s="1"/>
      <c r="B579" s="9"/>
      <c r="C579" s="9"/>
      <c r="D579" s="9"/>
      <c r="E579" s="9"/>
      <c r="F579" s="9"/>
      <c r="G579" s="9"/>
      <c r="H579" s="9"/>
    </row>
    <row r="580" spans="1:8" ht="15.75" x14ac:dyDescent="0.25">
      <c r="A580" s="5"/>
      <c r="B580" s="13" t="s">
        <v>109</v>
      </c>
      <c r="C580" s="13">
        <v>173415</v>
      </c>
    </row>
    <row r="581" spans="1:8" x14ac:dyDescent="0.25">
      <c r="C581" s="10">
        <f>C580-B575</f>
        <v>6676.8800000000047</v>
      </c>
    </row>
    <row r="582" spans="1:8" x14ac:dyDescent="0.25">
      <c r="C582"/>
      <c r="D582"/>
      <c r="E582"/>
      <c r="F582"/>
      <c r="G582"/>
      <c r="H582"/>
    </row>
    <row r="583" spans="1:8" x14ac:dyDescent="0.25">
      <c r="C583"/>
      <c r="D583"/>
      <c r="E583"/>
      <c r="F583"/>
      <c r="G583"/>
      <c r="H583"/>
    </row>
    <row r="584" spans="1:8" x14ac:dyDescent="0.25">
      <c r="C584"/>
      <c r="D584"/>
      <c r="E584"/>
      <c r="F584"/>
      <c r="G584"/>
      <c r="H584"/>
    </row>
    <row r="585" spans="1:8" x14ac:dyDescent="0.25">
      <c r="A585" s="65"/>
      <c r="B585" s="66"/>
      <c r="C585" s="66"/>
      <c r="D585" s="66"/>
      <c r="E585" s="112" t="s">
        <v>29</v>
      </c>
      <c r="F585" s="112"/>
      <c r="G585" s="112"/>
      <c r="H585" s="112"/>
    </row>
    <row r="586" spans="1:8" x14ac:dyDescent="0.25">
      <c r="A586" s="113"/>
      <c r="B586" s="114"/>
      <c r="C586" s="114"/>
      <c r="D586" s="115"/>
      <c r="E586" s="115" t="s">
        <v>0</v>
      </c>
      <c r="F586" s="115"/>
      <c r="G586" s="115"/>
      <c r="H586" s="115"/>
    </row>
    <row r="587" spans="1:8" hidden="1" x14ac:dyDescent="0.25">
      <c r="A587" s="113"/>
      <c r="B587" s="114"/>
      <c r="C587" s="114"/>
      <c r="D587" s="115"/>
      <c r="E587" s="126" t="s">
        <v>31</v>
      </c>
      <c r="F587" s="115"/>
      <c r="G587" s="115"/>
      <c r="H587" s="115"/>
    </row>
    <row r="588" spans="1:8" ht="15.75" hidden="1" thickBot="1" x14ac:dyDescent="0.3">
      <c r="A588" s="98" t="s">
        <v>79</v>
      </c>
      <c r="B588" s="98"/>
      <c r="C588" s="98"/>
      <c r="D588" s="98"/>
      <c r="E588" s="98"/>
      <c r="F588" s="98"/>
      <c r="G588" s="99"/>
      <c r="H588" s="99"/>
    </row>
    <row r="589" spans="1:8" hidden="1" x14ac:dyDescent="0.25">
      <c r="A589" s="100" t="s">
        <v>2</v>
      </c>
      <c r="B589" s="103" t="s">
        <v>30</v>
      </c>
      <c r="C589" s="104"/>
      <c r="D589" s="104"/>
      <c r="E589" s="104"/>
      <c r="F589" s="104"/>
      <c r="G589" s="105" t="s">
        <v>3</v>
      </c>
      <c r="H589" s="106"/>
    </row>
    <row r="590" spans="1:8" ht="135.75" hidden="1" thickBot="1" x14ac:dyDescent="0.3">
      <c r="A590" s="124"/>
      <c r="B590" s="105" t="s">
        <v>30</v>
      </c>
      <c r="C590" s="105"/>
      <c r="D590" s="15" t="s">
        <v>32</v>
      </c>
      <c r="E590" s="105" t="s">
        <v>4</v>
      </c>
      <c r="F590" s="105"/>
      <c r="G590" s="125"/>
      <c r="H590" s="109"/>
    </row>
    <row r="591" spans="1:8" ht="165.75" hidden="1" thickBot="1" x14ac:dyDescent="0.3">
      <c r="A591" s="102"/>
      <c r="B591" s="14" t="s">
        <v>36</v>
      </c>
      <c r="C591" s="69" t="s">
        <v>5</v>
      </c>
      <c r="D591" s="15" t="s">
        <v>33</v>
      </c>
      <c r="E591" s="69" t="s">
        <v>34</v>
      </c>
      <c r="F591" s="72" t="s">
        <v>35</v>
      </c>
      <c r="G591" s="110"/>
      <c r="H591" s="111"/>
    </row>
    <row r="592" spans="1:8" ht="15.75" hidden="1" thickBot="1" x14ac:dyDescent="0.3">
      <c r="A592" s="68">
        <v>1</v>
      </c>
      <c r="B592" s="72">
        <v>2</v>
      </c>
      <c r="C592" s="16">
        <v>3</v>
      </c>
      <c r="D592" s="69">
        <v>4</v>
      </c>
      <c r="E592" s="11">
        <v>5</v>
      </c>
      <c r="F592" s="72">
        <v>6</v>
      </c>
      <c r="G592" s="96" t="s">
        <v>37</v>
      </c>
      <c r="H592" s="97"/>
    </row>
    <row r="593" spans="1:11" ht="60.75" hidden="1" thickBot="1" x14ac:dyDescent="0.3">
      <c r="A593" s="2" t="s">
        <v>7</v>
      </c>
      <c r="B593" s="6">
        <f>B594</f>
        <v>68760.2</v>
      </c>
      <c r="C593" s="12"/>
      <c r="D593" s="6">
        <f>D594</f>
        <v>64859.8</v>
      </c>
      <c r="E593" s="8" t="s">
        <v>8</v>
      </c>
      <c r="F593" s="8" t="s">
        <v>8</v>
      </c>
      <c r="G593" s="90">
        <f>137021-1392-2075+66</f>
        <v>133620</v>
      </c>
      <c r="H593" s="91"/>
    </row>
    <row r="594" spans="1:11" ht="15.75" hidden="1" thickBot="1" x14ac:dyDescent="0.3">
      <c r="A594" s="3" t="s">
        <v>9</v>
      </c>
      <c r="B594" s="6">
        <f>G594*76%-32791</f>
        <v>68760.2</v>
      </c>
      <c r="C594" s="12"/>
      <c r="D594" s="70">
        <f>G594-B594</f>
        <v>64859.8</v>
      </c>
      <c r="E594" s="8" t="s">
        <v>8</v>
      </c>
      <c r="F594" s="8" t="s">
        <v>8</v>
      </c>
      <c r="G594" s="90">
        <f>G593</f>
        <v>133620</v>
      </c>
      <c r="H594" s="91"/>
    </row>
    <row r="595" spans="1:11" ht="15.75" hidden="1" thickBot="1" x14ac:dyDescent="0.3">
      <c r="A595" s="2" t="s">
        <v>10</v>
      </c>
      <c r="B595" s="6">
        <v>0</v>
      </c>
      <c r="C595" s="12"/>
      <c r="D595" s="6">
        <v>0</v>
      </c>
      <c r="E595" s="8" t="s">
        <v>8</v>
      </c>
      <c r="F595" s="8" t="s">
        <v>8</v>
      </c>
      <c r="G595" s="90">
        <v>0</v>
      </c>
      <c r="H595" s="91"/>
    </row>
    <row r="596" spans="1:11" ht="60.75" hidden="1" thickBot="1" x14ac:dyDescent="0.3">
      <c r="A596" s="2" t="s">
        <v>11</v>
      </c>
      <c r="B596" s="6">
        <f>G596*76%</f>
        <v>50893.4</v>
      </c>
      <c r="C596" s="12"/>
      <c r="D596" s="70">
        <f>G596-B596</f>
        <v>16071.599999999999</v>
      </c>
      <c r="E596" s="8" t="s">
        <v>8</v>
      </c>
      <c r="F596" s="8" t="s">
        <v>8</v>
      </c>
      <c r="G596" s="90">
        <f>67848-883</f>
        <v>66965</v>
      </c>
      <c r="H596" s="91"/>
    </row>
    <row r="597" spans="1:11" ht="30.75" hidden="1" thickBot="1" x14ac:dyDescent="0.3">
      <c r="A597" s="2" t="s">
        <v>12</v>
      </c>
      <c r="B597" s="6">
        <f>G597*76%</f>
        <v>3306</v>
      </c>
      <c r="C597" s="12"/>
      <c r="D597" s="70">
        <f>G597-B597</f>
        <v>1044</v>
      </c>
      <c r="E597" s="8" t="s">
        <v>8</v>
      </c>
      <c r="F597" s="8" t="s">
        <v>8</v>
      </c>
      <c r="G597" s="90">
        <f>883+1392+2075</f>
        <v>4350</v>
      </c>
      <c r="H597" s="91"/>
    </row>
    <row r="598" spans="1:11" ht="15.75" hidden="1" thickBot="1" x14ac:dyDescent="0.3">
      <c r="A598" s="2" t="s">
        <v>13</v>
      </c>
      <c r="B598" s="6">
        <f>G598*56%</f>
        <v>9776.4800000000014</v>
      </c>
      <c r="C598" s="6"/>
      <c r="D598" s="70">
        <f>G598-B598</f>
        <v>7681.5199999999986</v>
      </c>
      <c r="E598" s="8" t="s">
        <v>8</v>
      </c>
      <c r="F598" s="8" t="s">
        <v>8</v>
      </c>
      <c r="G598" s="90">
        <v>17458</v>
      </c>
      <c r="H598" s="91"/>
    </row>
    <row r="599" spans="1:11" ht="30.75" hidden="1" thickBot="1" x14ac:dyDescent="0.3">
      <c r="A599" s="2" t="s">
        <v>14</v>
      </c>
      <c r="B599" s="6">
        <f>G599*56%</f>
        <v>4672.6400000000003</v>
      </c>
      <c r="C599" s="6"/>
      <c r="D599" s="70">
        <f>G599-B599</f>
        <v>3671.3599999999997</v>
      </c>
      <c r="E599" s="8" t="s">
        <v>8</v>
      </c>
      <c r="F599" s="8" t="s">
        <v>8</v>
      </c>
      <c r="G599" s="90">
        <f>5027+3317</f>
        <v>8344</v>
      </c>
      <c r="H599" s="91"/>
      <c r="I599" s="10">
        <f>G596+G597+G594</f>
        <v>204935</v>
      </c>
    </row>
    <row r="600" spans="1:11" ht="45.75" hidden="1" thickBot="1" x14ac:dyDescent="0.3">
      <c r="A600" s="2" t="s">
        <v>15</v>
      </c>
      <c r="B600" s="8" t="s">
        <v>8</v>
      </c>
      <c r="C600" s="8" t="s">
        <v>8</v>
      </c>
      <c r="D600" s="6"/>
      <c r="E600" s="8" t="s">
        <v>8</v>
      </c>
      <c r="F600" s="8" t="s">
        <v>8</v>
      </c>
      <c r="G600" s="90"/>
      <c r="H600" s="91"/>
    </row>
    <row r="601" spans="1:11" ht="15.75" hidden="1" thickBot="1" x14ac:dyDescent="0.3">
      <c r="A601" s="2" t="s">
        <v>16</v>
      </c>
      <c r="B601" s="8" t="s">
        <v>8</v>
      </c>
      <c r="C601" s="8" t="s">
        <v>8</v>
      </c>
      <c r="D601" s="12"/>
      <c r="E601" s="6">
        <v>0</v>
      </c>
      <c r="F601" s="6"/>
      <c r="G601" s="90">
        <v>0</v>
      </c>
      <c r="H601" s="91"/>
    </row>
    <row r="602" spans="1:11" ht="15.75" hidden="1" thickBot="1" x14ac:dyDescent="0.3">
      <c r="A602" s="3" t="s">
        <v>17</v>
      </c>
      <c r="B602" s="6">
        <f>G602*56%</f>
        <v>0</v>
      </c>
      <c r="C602" s="8"/>
      <c r="D602" s="6"/>
      <c r="E602" s="6">
        <f>G602-B602</f>
        <v>0</v>
      </c>
      <c r="F602" s="6"/>
      <c r="G602" s="90">
        <v>0</v>
      </c>
      <c r="H602" s="91"/>
      <c r="K602" s="10" t="e">
        <f>#REF!+#REF!+#REF!</f>
        <v>#REF!</v>
      </c>
    </row>
    <row r="603" spans="1:11" ht="15.75" hidden="1" thickBot="1" x14ac:dyDescent="0.3">
      <c r="A603" s="3" t="s">
        <v>18</v>
      </c>
      <c r="B603" s="6"/>
      <c r="C603" s="8"/>
      <c r="D603" s="8"/>
      <c r="E603" s="6"/>
      <c r="F603" s="6"/>
      <c r="G603" s="90"/>
      <c r="H603" s="91"/>
      <c r="K603" s="10" t="e">
        <f>251786-K602</f>
        <v>#REF!</v>
      </c>
    </row>
    <row r="604" spans="1:11" ht="45.75" hidden="1" thickBot="1" x14ac:dyDescent="0.3">
      <c r="A604" s="2" t="s">
        <v>19</v>
      </c>
      <c r="B604" s="6"/>
      <c r="C604" s="8"/>
      <c r="D604" s="6"/>
      <c r="E604" s="6"/>
      <c r="F604" s="6"/>
      <c r="G604" s="94"/>
      <c r="H604" s="95"/>
    </row>
    <row r="605" spans="1:11" ht="30.75" hidden="1" thickBot="1" x14ac:dyDescent="0.3">
      <c r="A605" s="2" t="s">
        <v>20</v>
      </c>
      <c r="B605" s="6">
        <f>G605*56%</f>
        <v>17736.88</v>
      </c>
      <c r="C605" s="8"/>
      <c r="D605" s="6"/>
      <c r="E605" s="6">
        <f>G605-B605</f>
        <v>13936.119999999999</v>
      </c>
      <c r="F605" s="6"/>
      <c r="G605" s="90">
        <v>31673</v>
      </c>
      <c r="H605" s="91"/>
    </row>
    <row r="606" spans="1:11" ht="30.75" hidden="1" thickBot="1" x14ac:dyDescent="0.3">
      <c r="A606" s="2" t="s">
        <v>21</v>
      </c>
      <c r="B606" s="6">
        <f>G606*56%</f>
        <v>16354.800000000001</v>
      </c>
      <c r="C606" s="6"/>
      <c r="D606" s="70">
        <f>G606-B606</f>
        <v>12850.199999999999</v>
      </c>
      <c r="E606" s="8" t="s">
        <v>8</v>
      </c>
      <c r="F606" s="8" t="s">
        <v>8</v>
      </c>
      <c r="G606" s="90">
        <f>27713+241+1251</f>
        <v>29205</v>
      </c>
      <c r="H606" s="91"/>
    </row>
    <row r="607" spans="1:11" ht="15.75" hidden="1" thickBot="1" x14ac:dyDescent="0.3">
      <c r="A607" s="3" t="s">
        <v>22</v>
      </c>
      <c r="B607" s="6">
        <f>G607*56%</f>
        <v>18949.280000000002</v>
      </c>
      <c r="C607" s="6"/>
      <c r="D607" s="70">
        <f>G607-B607</f>
        <v>14888.719999999998</v>
      </c>
      <c r="E607" s="8" t="s">
        <v>8</v>
      </c>
      <c r="F607" s="8" t="s">
        <v>8</v>
      </c>
      <c r="G607" s="90">
        <f>128+14704+10+3676+15320</f>
        <v>33838</v>
      </c>
      <c r="H607" s="91"/>
    </row>
    <row r="608" spans="1:11" ht="15.75" hidden="1" thickBot="1" x14ac:dyDescent="0.3">
      <c r="A608" s="3" t="s">
        <v>23</v>
      </c>
      <c r="B608" s="8" t="s">
        <v>8</v>
      </c>
      <c r="C608" s="12"/>
      <c r="D608" s="8" t="s">
        <v>8</v>
      </c>
      <c r="E608" s="8" t="s">
        <v>8</v>
      </c>
      <c r="F608" s="8" t="s">
        <v>8</v>
      </c>
      <c r="G608" s="94"/>
      <c r="H608" s="95"/>
    </row>
    <row r="609" spans="1:10" ht="15.75" hidden="1" thickBot="1" x14ac:dyDescent="0.3">
      <c r="A609" s="3" t="s">
        <v>24</v>
      </c>
      <c r="B609" s="6">
        <f>G609*56%</f>
        <v>0</v>
      </c>
      <c r="C609" s="6"/>
      <c r="D609" s="6"/>
      <c r="E609" s="8" t="s">
        <v>8</v>
      </c>
      <c r="F609" s="8" t="s">
        <v>8</v>
      </c>
      <c r="G609" s="90"/>
      <c r="H609" s="91"/>
    </row>
    <row r="610" spans="1:10" ht="15.75" hidden="1" thickBot="1" x14ac:dyDescent="0.3">
      <c r="A610" s="4" t="s">
        <v>25</v>
      </c>
      <c r="B610" s="6">
        <f>SUM(B594:B609)</f>
        <v>190449.68000000002</v>
      </c>
      <c r="C610" s="6"/>
      <c r="D610" s="6">
        <f>SUM(D594:D609)</f>
        <v>121067.2</v>
      </c>
      <c r="E610" s="6">
        <f>SUM(E594:E609)</f>
        <v>13936.119999999999</v>
      </c>
      <c r="F610" s="6"/>
      <c r="G610" s="90">
        <f>SUM(G594:H609)</f>
        <v>325453</v>
      </c>
      <c r="H610" s="91"/>
      <c r="J610" s="10">
        <f>325453-G610</f>
        <v>0</v>
      </c>
    </row>
    <row r="611" spans="1:10" hidden="1" x14ac:dyDescent="0.25">
      <c r="A611" s="92" t="s">
        <v>26</v>
      </c>
      <c r="B611" s="92"/>
      <c r="C611" s="92"/>
      <c r="D611" s="92"/>
      <c r="E611" s="92"/>
      <c r="F611" s="92"/>
      <c r="G611" s="92"/>
      <c r="H611" s="92"/>
    </row>
    <row r="612" spans="1:10" hidden="1" x14ac:dyDescent="0.25">
      <c r="A612" s="93" t="s">
        <v>27</v>
      </c>
      <c r="B612" s="93"/>
      <c r="C612" s="93"/>
      <c r="D612" s="93"/>
      <c r="E612" s="93"/>
      <c r="F612" s="93"/>
      <c r="G612" s="93"/>
      <c r="H612" s="93"/>
    </row>
    <row r="613" spans="1:10" ht="17.25" hidden="1" customHeight="1" x14ac:dyDescent="0.25">
      <c r="A613" s="93" t="s">
        <v>28</v>
      </c>
      <c r="B613" s="93"/>
      <c r="C613" s="93"/>
      <c r="D613" s="93"/>
      <c r="E613" s="93"/>
      <c r="F613" s="93"/>
      <c r="G613" s="93"/>
      <c r="H613" s="93"/>
    </row>
    <row r="614" spans="1:10" ht="12.75" hidden="1" customHeight="1" x14ac:dyDescent="0.25">
      <c r="A614" s="1"/>
      <c r="B614" s="9"/>
      <c r="C614" s="9"/>
      <c r="D614" s="9"/>
      <c r="E614" s="9"/>
      <c r="F614" s="9"/>
      <c r="G614" s="9"/>
      <c r="H614" s="9"/>
    </row>
    <row r="615" spans="1:10" ht="27.75" hidden="1" customHeight="1" x14ac:dyDescent="0.25">
      <c r="A615" s="5"/>
      <c r="B615" s="13" t="s">
        <v>110</v>
      </c>
      <c r="C615" s="13">
        <v>193708</v>
      </c>
    </row>
    <row r="616" spans="1:10" hidden="1" x14ac:dyDescent="0.25">
      <c r="C616" s="10">
        <f>C615-B610</f>
        <v>3258.3199999999779</v>
      </c>
    </row>
    <row r="617" spans="1:10" hidden="1" x14ac:dyDescent="0.25">
      <c r="C617"/>
      <c r="D617"/>
      <c r="E617"/>
      <c r="F617"/>
      <c r="G617"/>
      <c r="H617"/>
    </row>
    <row r="618" spans="1:10" hidden="1" x14ac:dyDescent="0.25">
      <c r="C618"/>
      <c r="D618"/>
      <c r="E618"/>
      <c r="F618"/>
      <c r="G618"/>
      <c r="H618"/>
    </row>
    <row r="619" spans="1:10" x14ac:dyDescent="0.25">
      <c r="C619"/>
      <c r="D619"/>
      <c r="E619"/>
      <c r="F619"/>
      <c r="G619"/>
      <c r="H619"/>
    </row>
    <row r="620" spans="1:10" x14ac:dyDescent="0.25">
      <c r="C620"/>
      <c r="D620"/>
      <c r="E620"/>
      <c r="F620"/>
      <c r="G620"/>
      <c r="H620"/>
    </row>
    <row r="621" spans="1:10" x14ac:dyDescent="0.25">
      <c r="A621" s="65"/>
      <c r="B621" s="66"/>
      <c r="C621" s="66"/>
      <c r="D621" s="66"/>
      <c r="E621" s="112" t="s">
        <v>29</v>
      </c>
      <c r="F621" s="112"/>
      <c r="G621" s="112"/>
      <c r="H621" s="112"/>
    </row>
    <row r="622" spans="1:10" x14ac:dyDescent="0.25">
      <c r="A622" s="113"/>
      <c r="B622" s="114"/>
      <c r="C622" s="114"/>
      <c r="D622" s="115"/>
      <c r="E622" s="115" t="s">
        <v>0</v>
      </c>
      <c r="F622" s="115"/>
      <c r="G622" s="115"/>
      <c r="H622" s="115"/>
    </row>
    <row r="623" spans="1:10" x14ac:dyDescent="0.25">
      <c r="A623" s="113"/>
      <c r="B623" s="114"/>
      <c r="C623" s="114"/>
      <c r="D623" s="115"/>
      <c r="E623" s="126" t="s">
        <v>31</v>
      </c>
      <c r="F623" s="115"/>
      <c r="G623" s="115"/>
      <c r="H623" s="115"/>
    </row>
    <row r="624" spans="1:10" ht="15.75" thickBot="1" x14ac:dyDescent="0.3">
      <c r="A624" s="98" t="s">
        <v>81</v>
      </c>
      <c r="B624" s="98"/>
      <c r="C624" s="98"/>
      <c r="D624" s="98"/>
      <c r="E624" s="98"/>
      <c r="F624" s="98"/>
      <c r="G624" s="99"/>
      <c r="H624" s="99"/>
    </row>
    <row r="625" spans="1:11" x14ac:dyDescent="0.25">
      <c r="A625" s="100" t="s">
        <v>2</v>
      </c>
      <c r="B625" s="103" t="s">
        <v>30</v>
      </c>
      <c r="C625" s="104"/>
      <c r="D625" s="104"/>
      <c r="E625" s="104"/>
      <c r="F625" s="104"/>
      <c r="G625" s="105" t="s">
        <v>3</v>
      </c>
      <c r="H625" s="106"/>
    </row>
    <row r="626" spans="1:11" ht="135.75" thickBot="1" x14ac:dyDescent="0.3">
      <c r="A626" s="124"/>
      <c r="B626" s="105" t="s">
        <v>30</v>
      </c>
      <c r="C626" s="105"/>
      <c r="D626" s="15" t="s">
        <v>32</v>
      </c>
      <c r="E626" s="105" t="s">
        <v>4</v>
      </c>
      <c r="F626" s="105"/>
      <c r="G626" s="125"/>
      <c r="H626" s="109"/>
    </row>
    <row r="627" spans="1:11" ht="165.75" thickBot="1" x14ac:dyDescent="0.3">
      <c r="A627" s="102"/>
      <c r="B627" s="14" t="s">
        <v>36</v>
      </c>
      <c r="C627" s="69" t="s">
        <v>5</v>
      </c>
      <c r="D627" s="15" t="s">
        <v>33</v>
      </c>
      <c r="E627" s="69" t="s">
        <v>34</v>
      </c>
      <c r="F627" s="72" t="s">
        <v>35</v>
      </c>
      <c r="G627" s="110"/>
      <c r="H627" s="111"/>
    </row>
    <row r="628" spans="1:11" ht="15.75" thickBot="1" x14ac:dyDescent="0.3">
      <c r="A628" s="68">
        <v>1</v>
      </c>
      <c r="B628" s="72">
        <v>2</v>
      </c>
      <c r="C628" s="16">
        <v>3</v>
      </c>
      <c r="D628" s="69">
        <v>4</v>
      </c>
      <c r="E628" s="11">
        <v>5</v>
      </c>
      <c r="F628" s="72">
        <v>6</v>
      </c>
      <c r="G628" s="96" t="s">
        <v>37</v>
      </c>
      <c r="H628" s="97"/>
    </row>
    <row r="629" spans="1:11" ht="60.75" thickBot="1" x14ac:dyDescent="0.3">
      <c r="A629" s="2" t="s">
        <v>7</v>
      </c>
      <c r="B629" s="6">
        <f>B630</f>
        <v>81250.8</v>
      </c>
      <c r="C629" s="12"/>
      <c r="D629" s="6">
        <f>D630</f>
        <v>68804.2</v>
      </c>
      <c r="E629" s="8" t="s">
        <v>8</v>
      </c>
      <c r="F629" s="8" t="s">
        <v>8</v>
      </c>
      <c r="G629" s="90">
        <f>153571-1508-2075+67</f>
        <v>150055</v>
      </c>
      <c r="H629" s="91"/>
    </row>
    <row r="630" spans="1:11" ht="15.75" thickBot="1" x14ac:dyDescent="0.3">
      <c r="A630" s="3" t="s">
        <v>9</v>
      </c>
      <c r="B630" s="6">
        <f>G630*76%-32791</f>
        <v>81250.8</v>
      </c>
      <c r="C630" s="12"/>
      <c r="D630" s="70">
        <f>G630-B630</f>
        <v>68804.2</v>
      </c>
      <c r="E630" s="8" t="s">
        <v>8</v>
      </c>
      <c r="F630" s="8" t="s">
        <v>8</v>
      </c>
      <c r="G630" s="90">
        <f>G629</f>
        <v>150055</v>
      </c>
      <c r="H630" s="91"/>
    </row>
    <row r="631" spans="1:11" ht="15.75" thickBot="1" x14ac:dyDescent="0.3">
      <c r="A631" s="2" t="s">
        <v>10</v>
      </c>
      <c r="B631" s="6">
        <v>0</v>
      </c>
      <c r="C631" s="12"/>
      <c r="D631" s="6">
        <v>0</v>
      </c>
      <c r="E631" s="8" t="s">
        <v>8</v>
      </c>
      <c r="F631" s="8" t="s">
        <v>8</v>
      </c>
      <c r="G631" s="90">
        <v>0</v>
      </c>
      <c r="H631" s="91"/>
    </row>
    <row r="632" spans="1:11" ht="60.75" thickBot="1" x14ac:dyDescent="0.3">
      <c r="A632" s="2" t="s">
        <v>11</v>
      </c>
      <c r="B632" s="6">
        <f>G632*76%</f>
        <v>56205.04</v>
      </c>
      <c r="C632" s="12"/>
      <c r="D632" s="70">
        <f>G632-B632</f>
        <v>17748.96</v>
      </c>
      <c r="E632" s="8" t="s">
        <v>8</v>
      </c>
      <c r="F632" s="8" t="s">
        <v>8</v>
      </c>
      <c r="G632" s="90">
        <f>74894-940</f>
        <v>73954</v>
      </c>
      <c r="H632" s="91"/>
    </row>
    <row r="633" spans="1:11" ht="30.75" thickBot="1" x14ac:dyDescent="0.3">
      <c r="A633" s="2" t="s">
        <v>12</v>
      </c>
      <c r="B633" s="6">
        <f>G633*76%</f>
        <v>3437.48</v>
      </c>
      <c r="C633" s="12"/>
      <c r="D633" s="70">
        <f>G633-B633</f>
        <v>1085.52</v>
      </c>
      <c r="E633" s="8" t="s">
        <v>8</v>
      </c>
      <c r="F633" s="8" t="s">
        <v>8</v>
      </c>
      <c r="G633" s="90">
        <f>940+1508+2075</f>
        <v>4523</v>
      </c>
      <c r="H633" s="91"/>
    </row>
    <row r="634" spans="1:11" ht="15.75" thickBot="1" x14ac:dyDescent="0.3">
      <c r="A634" s="2" t="s">
        <v>13</v>
      </c>
      <c r="B634" s="6">
        <f>G634*56%</f>
        <v>9776.4800000000014</v>
      </c>
      <c r="C634" s="6"/>
      <c r="D634" s="70">
        <f>G634-B634</f>
        <v>7681.5199999999986</v>
      </c>
      <c r="E634" s="8" t="s">
        <v>8</v>
      </c>
      <c r="F634" s="8" t="s">
        <v>8</v>
      </c>
      <c r="G634" s="90">
        <v>17458</v>
      </c>
      <c r="H634" s="91"/>
    </row>
    <row r="635" spans="1:11" ht="30.75" hidden="1" thickBot="1" x14ac:dyDescent="0.3">
      <c r="A635" s="2" t="s">
        <v>14</v>
      </c>
      <c r="B635" s="6">
        <f>G635*56%</f>
        <v>6305.6</v>
      </c>
      <c r="C635" s="6"/>
      <c r="D635" s="70">
        <f>G635-B635</f>
        <v>4954.3999999999996</v>
      </c>
      <c r="E635" s="8" t="s">
        <v>8</v>
      </c>
      <c r="F635" s="8" t="s">
        <v>8</v>
      </c>
      <c r="G635" s="90">
        <f>7793+3467</f>
        <v>11260</v>
      </c>
      <c r="H635" s="91"/>
      <c r="I635" s="10">
        <f>G632+G633+G630</f>
        <v>228532</v>
      </c>
    </row>
    <row r="636" spans="1:11" ht="45.75" hidden="1" thickBot="1" x14ac:dyDescent="0.3">
      <c r="A636" s="2" t="s">
        <v>15</v>
      </c>
      <c r="B636" s="8" t="s">
        <v>8</v>
      </c>
      <c r="C636" s="8" t="s">
        <v>8</v>
      </c>
      <c r="D636" s="6"/>
      <c r="E636" s="8" t="s">
        <v>8</v>
      </c>
      <c r="F636" s="8" t="s">
        <v>8</v>
      </c>
      <c r="G636" s="90"/>
      <c r="H636" s="91"/>
    </row>
    <row r="637" spans="1:11" ht="15.75" hidden="1" thickBot="1" x14ac:dyDescent="0.3">
      <c r="A637" s="2" t="s">
        <v>16</v>
      </c>
      <c r="B637" s="8" t="s">
        <v>8</v>
      </c>
      <c r="C637" s="8" t="s">
        <v>8</v>
      </c>
      <c r="D637" s="12"/>
      <c r="E637" s="6">
        <v>0</v>
      </c>
      <c r="F637" s="6"/>
      <c r="G637" s="90">
        <v>0</v>
      </c>
      <c r="H637" s="91"/>
    </row>
    <row r="638" spans="1:11" ht="15.75" hidden="1" thickBot="1" x14ac:dyDescent="0.3">
      <c r="A638" s="3" t="s">
        <v>17</v>
      </c>
      <c r="B638" s="6">
        <f>G638*56%</f>
        <v>0</v>
      </c>
      <c r="C638" s="8"/>
      <c r="D638" s="6"/>
      <c r="E638" s="6">
        <f>G638-B638</f>
        <v>0</v>
      </c>
      <c r="F638" s="6"/>
      <c r="G638" s="90">
        <v>0</v>
      </c>
      <c r="H638" s="91"/>
      <c r="K638" s="10" t="e">
        <f>#REF!+#REF!+#REF!</f>
        <v>#REF!</v>
      </c>
    </row>
    <row r="639" spans="1:11" ht="15.75" hidden="1" thickBot="1" x14ac:dyDescent="0.3">
      <c r="A639" s="3" t="s">
        <v>18</v>
      </c>
      <c r="B639" s="6"/>
      <c r="C639" s="8"/>
      <c r="D639" s="8"/>
      <c r="E639" s="6"/>
      <c r="F639" s="6"/>
      <c r="G639" s="90"/>
      <c r="H639" s="91"/>
      <c r="K639" s="10" t="e">
        <f>251786-K638</f>
        <v>#REF!</v>
      </c>
    </row>
    <row r="640" spans="1:11" ht="45.75" hidden="1" thickBot="1" x14ac:dyDescent="0.3">
      <c r="A640" s="2" t="s">
        <v>19</v>
      </c>
      <c r="B640" s="6"/>
      <c r="C640" s="8"/>
      <c r="D640" s="6"/>
      <c r="E640" s="6"/>
      <c r="F640" s="6"/>
      <c r="G640" s="94"/>
      <c r="H640" s="95"/>
    </row>
    <row r="641" spans="1:10" ht="30.75" hidden="1" thickBot="1" x14ac:dyDescent="0.3">
      <c r="A641" s="2" t="s">
        <v>20</v>
      </c>
      <c r="B641" s="6">
        <f>G641*56%</f>
        <v>19547.920000000002</v>
      </c>
      <c r="C641" s="8"/>
      <c r="D641" s="6"/>
      <c r="E641" s="6">
        <f>G641-B641</f>
        <v>15359.079999999998</v>
      </c>
      <c r="F641" s="6"/>
      <c r="G641" s="90">
        <v>34907</v>
      </c>
      <c r="H641" s="91"/>
    </row>
    <row r="642" spans="1:10" ht="30.75" hidden="1" thickBot="1" x14ac:dyDescent="0.3">
      <c r="A642" s="2" t="s">
        <v>21</v>
      </c>
      <c r="B642" s="6">
        <f>G642*56%</f>
        <v>19666.080000000002</v>
      </c>
      <c r="C642" s="6"/>
      <c r="D642" s="70">
        <f>G642-B642</f>
        <v>15451.919999999998</v>
      </c>
      <c r="E642" s="8" t="s">
        <v>8</v>
      </c>
      <c r="F642" s="8" t="s">
        <v>8</v>
      </c>
      <c r="G642" s="90">
        <f>33303+1574+241</f>
        <v>35118</v>
      </c>
      <c r="H642" s="91"/>
    </row>
    <row r="643" spans="1:10" ht="15.75" hidden="1" thickBot="1" x14ac:dyDescent="0.3">
      <c r="A643" s="3" t="s">
        <v>22</v>
      </c>
      <c r="B643" s="6">
        <f>G643*56%</f>
        <v>19881.68</v>
      </c>
      <c r="C643" s="6"/>
      <c r="D643" s="70">
        <f>G643-B643</f>
        <v>15621.32</v>
      </c>
      <c r="E643" s="8" t="s">
        <v>8</v>
      </c>
      <c r="F643" s="8" t="s">
        <v>8</v>
      </c>
      <c r="G643" s="90">
        <f>128+16349+10+3696+15320</f>
        <v>35503</v>
      </c>
      <c r="H643" s="91"/>
    </row>
    <row r="644" spans="1:10" ht="15.75" hidden="1" thickBot="1" x14ac:dyDescent="0.3">
      <c r="A644" s="3" t="s">
        <v>23</v>
      </c>
      <c r="B644" s="8" t="s">
        <v>8</v>
      </c>
      <c r="C644" s="12"/>
      <c r="D644" s="8" t="s">
        <v>8</v>
      </c>
      <c r="E644" s="8" t="s">
        <v>8</v>
      </c>
      <c r="F644" s="8" t="s">
        <v>8</v>
      </c>
      <c r="G644" s="94"/>
      <c r="H644" s="95"/>
    </row>
    <row r="645" spans="1:10" ht="15.75" hidden="1" thickBot="1" x14ac:dyDescent="0.3">
      <c r="A645" s="3" t="s">
        <v>24</v>
      </c>
      <c r="B645" s="6">
        <f>G645*56%</f>
        <v>0</v>
      </c>
      <c r="C645" s="6"/>
      <c r="D645" s="6"/>
      <c r="E645" s="8" t="s">
        <v>8</v>
      </c>
      <c r="F645" s="8" t="s">
        <v>8</v>
      </c>
      <c r="G645" s="90"/>
      <c r="H645" s="91"/>
    </row>
    <row r="646" spans="1:10" ht="15.75" hidden="1" thickBot="1" x14ac:dyDescent="0.3">
      <c r="A646" s="4" t="s">
        <v>25</v>
      </c>
      <c r="B646" s="6">
        <f>SUM(B630:B645)</f>
        <v>216071.08000000002</v>
      </c>
      <c r="C646" s="6"/>
      <c r="D646" s="6">
        <f>SUM(D630:D645)</f>
        <v>131347.84</v>
      </c>
      <c r="E646" s="6">
        <f>SUM(E630:E645)</f>
        <v>15359.079999999998</v>
      </c>
      <c r="F646" s="6"/>
      <c r="G646" s="90">
        <f>SUM(G630:H645)</f>
        <v>362778</v>
      </c>
      <c r="H646" s="91"/>
      <c r="J646" s="10"/>
    </row>
    <row r="647" spans="1:10" ht="15.75" hidden="1" thickBot="1" x14ac:dyDescent="0.3">
      <c r="A647" s="92" t="s">
        <v>26</v>
      </c>
      <c r="B647" s="92"/>
      <c r="C647" s="92"/>
      <c r="D647" s="92"/>
      <c r="E647" s="92"/>
      <c r="F647" s="92"/>
      <c r="G647" s="92"/>
      <c r="H647" s="92"/>
    </row>
    <row r="648" spans="1:10" ht="15.75" hidden="1" thickBot="1" x14ac:dyDescent="0.3">
      <c r="A648" s="93" t="s">
        <v>27</v>
      </c>
      <c r="B648" s="93"/>
      <c r="C648" s="93"/>
      <c r="D648" s="93"/>
      <c r="E648" s="93"/>
      <c r="F648" s="93"/>
      <c r="G648" s="93"/>
      <c r="H648" s="93"/>
    </row>
    <row r="649" spans="1:10" ht="17.25" hidden="1" customHeight="1" x14ac:dyDescent="0.25">
      <c r="A649" s="93" t="s">
        <v>28</v>
      </c>
      <c r="B649" s="93"/>
      <c r="C649" s="93"/>
      <c r="D649" s="93"/>
      <c r="E649" s="93"/>
      <c r="F649" s="93"/>
      <c r="G649" s="93"/>
      <c r="H649" s="93"/>
    </row>
    <row r="650" spans="1:10" ht="12.75" hidden="1" customHeight="1" x14ac:dyDescent="0.25">
      <c r="A650" s="1"/>
      <c r="B650" s="9"/>
      <c r="C650" s="9"/>
      <c r="D650" s="9"/>
      <c r="E650" s="9"/>
      <c r="F650" s="9"/>
      <c r="G650" s="9"/>
      <c r="H650" s="9"/>
    </row>
    <row r="651" spans="1:10" ht="27.75" hidden="1" customHeight="1" x14ac:dyDescent="0.25">
      <c r="A651" s="5"/>
      <c r="B651" s="13" t="s">
        <v>139</v>
      </c>
      <c r="C651" s="13">
        <v>213073</v>
      </c>
    </row>
    <row r="652" spans="1:10" ht="15.75" hidden="1" thickBot="1" x14ac:dyDescent="0.3">
      <c r="C652" s="10">
        <f>C651-B646</f>
        <v>-2998.0800000000163</v>
      </c>
    </row>
    <row r="653" spans="1:10" ht="15.75" hidden="1" thickBot="1" x14ac:dyDescent="0.3">
      <c r="C653"/>
      <c r="D653"/>
      <c r="E653"/>
      <c r="F653"/>
      <c r="G653"/>
      <c r="H653"/>
    </row>
    <row r="654" spans="1:10" ht="15.75" hidden="1" thickBot="1" x14ac:dyDescent="0.3">
      <c r="C654"/>
      <c r="D654"/>
      <c r="E654"/>
      <c r="F654"/>
      <c r="G654"/>
      <c r="H654"/>
    </row>
    <row r="655" spans="1:10" ht="15.75" hidden="1" thickBot="1" x14ac:dyDescent="0.3">
      <c r="C655"/>
      <c r="D655"/>
      <c r="E655"/>
      <c r="F655"/>
      <c r="G655"/>
      <c r="H655"/>
    </row>
    <row r="656" spans="1:10" ht="15.75" hidden="1" thickBot="1" x14ac:dyDescent="0.3">
      <c r="C656"/>
      <c r="D656"/>
      <c r="E656"/>
      <c r="F656"/>
      <c r="G656"/>
      <c r="H656"/>
    </row>
    <row r="657" spans="1:11" ht="15.75" hidden="1" thickBot="1" x14ac:dyDescent="0.3">
      <c r="C657"/>
      <c r="D657"/>
      <c r="E657"/>
      <c r="F657"/>
      <c r="G657"/>
      <c r="H657"/>
    </row>
    <row r="658" spans="1:11" ht="15.75" hidden="1" thickBot="1" x14ac:dyDescent="0.3">
      <c r="C658"/>
      <c r="D658"/>
      <c r="E658"/>
      <c r="F658"/>
      <c r="G658"/>
      <c r="H658"/>
    </row>
    <row r="659" spans="1:11" ht="15.75" hidden="1" thickBot="1" x14ac:dyDescent="0.3">
      <c r="C659"/>
      <c r="D659"/>
      <c r="E659"/>
      <c r="F659"/>
      <c r="G659"/>
      <c r="H659"/>
      <c r="K659" s="10">
        <f>G688-G683</f>
        <v>387335</v>
      </c>
    </row>
    <row r="660" spans="1:11" ht="15.75" hidden="1" thickBot="1" x14ac:dyDescent="0.3">
      <c r="C660"/>
      <c r="D660"/>
      <c r="E660"/>
      <c r="F660"/>
      <c r="G660"/>
      <c r="H660"/>
      <c r="K660" s="10">
        <f>K659-371770</f>
        <v>15565</v>
      </c>
    </row>
    <row r="661" spans="1:11" ht="15.75" hidden="1" thickBot="1" x14ac:dyDescent="0.3">
      <c r="C661"/>
      <c r="D661"/>
      <c r="E661"/>
      <c r="F661"/>
      <c r="G661"/>
      <c r="H661"/>
    </row>
    <row r="662" spans="1:11" ht="15.75" hidden="1" thickBot="1" x14ac:dyDescent="0.3">
      <c r="C662"/>
      <c r="D662"/>
      <c r="E662"/>
      <c r="F662"/>
      <c r="G662"/>
      <c r="H662"/>
    </row>
    <row r="663" spans="1:11" ht="15.75" hidden="1" thickBot="1" x14ac:dyDescent="0.3">
      <c r="A663" s="65"/>
      <c r="B663" s="66"/>
      <c r="C663" s="66"/>
      <c r="D663" s="66"/>
      <c r="E663" s="112" t="s">
        <v>29</v>
      </c>
      <c r="F663" s="112"/>
      <c r="G663" s="112"/>
      <c r="H663" s="112"/>
    </row>
    <row r="664" spans="1:11" ht="15.75" hidden="1" thickBot="1" x14ac:dyDescent="0.3">
      <c r="A664" s="113"/>
      <c r="B664" s="114"/>
      <c r="C664" s="114"/>
      <c r="D664" s="115"/>
      <c r="E664" s="115" t="s">
        <v>0</v>
      </c>
      <c r="F664" s="115"/>
      <c r="G664" s="115"/>
      <c r="H664" s="115"/>
    </row>
    <row r="665" spans="1:11" ht="15.75" hidden="1" thickBot="1" x14ac:dyDescent="0.3">
      <c r="A665" s="113"/>
      <c r="B665" s="114"/>
      <c r="C665" s="114"/>
      <c r="D665" s="115"/>
      <c r="E665" s="126" t="s">
        <v>31</v>
      </c>
      <c r="F665" s="115"/>
      <c r="G665" s="115"/>
      <c r="H665" s="115"/>
    </row>
    <row r="666" spans="1:11" ht="15.75" hidden="1" thickBot="1" x14ac:dyDescent="0.3">
      <c r="A666" s="98" t="s">
        <v>51</v>
      </c>
      <c r="B666" s="98"/>
      <c r="C666" s="98"/>
      <c r="D666" s="98"/>
      <c r="E666" s="98"/>
      <c r="F666" s="98"/>
      <c r="G666" s="99"/>
      <c r="H666" s="99"/>
    </row>
    <row r="667" spans="1:11" ht="15.75" hidden="1" thickBot="1" x14ac:dyDescent="0.3">
      <c r="A667" s="100" t="s">
        <v>2</v>
      </c>
      <c r="B667" s="103" t="s">
        <v>30</v>
      </c>
      <c r="C667" s="104"/>
      <c r="D667" s="104"/>
      <c r="E667" s="104"/>
      <c r="F667" s="104"/>
      <c r="G667" s="105" t="s">
        <v>3</v>
      </c>
      <c r="H667" s="106"/>
    </row>
    <row r="668" spans="1:11" ht="135.75" hidden="1" thickBot="1" x14ac:dyDescent="0.3">
      <c r="A668" s="124"/>
      <c r="B668" s="105" t="s">
        <v>30</v>
      </c>
      <c r="C668" s="105"/>
      <c r="D668" s="15" t="s">
        <v>32</v>
      </c>
      <c r="E668" s="105" t="s">
        <v>4</v>
      </c>
      <c r="F668" s="105"/>
      <c r="G668" s="125"/>
      <c r="H668" s="109"/>
    </row>
    <row r="669" spans="1:11" ht="165.75" hidden="1" thickBot="1" x14ac:dyDescent="0.3">
      <c r="A669" s="102"/>
      <c r="B669" s="14" t="s">
        <v>36</v>
      </c>
      <c r="C669" s="69" t="s">
        <v>5</v>
      </c>
      <c r="D669" s="15" t="s">
        <v>33</v>
      </c>
      <c r="E669" s="69" t="s">
        <v>34</v>
      </c>
      <c r="F669" s="72" t="s">
        <v>35</v>
      </c>
      <c r="G669" s="110"/>
      <c r="H669" s="111"/>
    </row>
    <row r="670" spans="1:11" ht="15.75" hidden="1" thickBot="1" x14ac:dyDescent="0.3">
      <c r="A670" s="68">
        <v>1</v>
      </c>
      <c r="B670" s="72">
        <v>2</v>
      </c>
      <c r="C670" s="16">
        <v>3</v>
      </c>
      <c r="D670" s="69">
        <v>4</v>
      </c>
      <c r="E670" s="11">
        <v>5</v>
      </c>
      <c r="F670" s="72">
        <v>6</v>
      </c>
      <c r="G670" s="96" t="s">
        <v>37</v>
      </c>
      <c r="H670" s="97"/>
    </row>
    <row r="671" spans="1:11" ht="57.75" hidden="1" customHeight="1" x14ac:dyDescent="0.25">
      <c r="A671" s="2" t="s">
        <v>7</v>
      </c>
      <c r="B671" s="6">
        <f>B672</f>
        <v>129144.52</v>
      </c>
      <c r="C671" s="12"/>
      <c r="D671" s="6">
        <f>D672</f>
        <v>40782.479999999996</v>
      </c>
      <c r="E671" s="8" t="s">
        <v>8</v>
      </c>
      <c r="F671" s="8" t="s">
        <v>8</v>
      </c>
      <c r="G671" s="90">
        <f>174390-4529+66</f>
        <v>169927</v>
      </c>
      <c r="H671" s="91"/>
    </row>
    <row r="672" spans="1:11" ht="15.75" hidden="1" thickBot="1" x14ac:dyDescent="0.3">
      <c r="A672" s="3" t="s">
        <v>9</v>
      </c>
      <c r="B672" s="6">
        <f>G672*76%</f>
        <v>129144.52</v>
      </c>
      <c r="C672" s="12"/>
      <c r="D672" s="70">
        <f>G672-B672</f>
        <v>40782.479999999996</v>
      </c>
      <c r="E672" s="8" t="s">
        <v>8</v>
      </c>
      <c r="F672" s="8" t="s">
        <v>8</v>
      </c>
      <c r="G672" s="90">
        <f>G671</f>
        <v>169927</v>
      </c>
      <c r="H672" s="91"/>
      <c r="I672">
        <f>G672/K676</f>
        <v>0.67488929046607227</v>
      </c>
    </row>
    <row r="673" spans="1:11" ht="15.75" hidden="1" thickBot="1" x14ac:dyDescent="0.3">
      <c r="A673" s="2" t="s">
        <v>10</v>
      </c>
      <c r="B673" s="6">
        <v>0</v>
      </c>
      <c r="C673" s="12"/>
      <c r="D673" s="6">
        <v>0</v>
      </c>
      <c r="E673" s="8" t="s">
        <v>8</v>
      </c>
      <c r="F673" s="8" t="s">
        <v>8</v>
      </c>
      <c r="G673" s="90">
        <v>0</v>
      </c>
      <c r="H673" s="91"/>
    </row>
    <row r="674" spans="1:11" ht="60.75" hidden="1" thickBot="1" x14ac:dyDescent="0.3">
      <c r="A674" s="2" t="s">
        <v>11</v>
      </c>
      <c r="B674" s="6">
        <f>G674*76%</f>
        <v>57890.720000000001</v>
      </c>
      <c r="C674" s="12"/>
      <c r="D674" s="70">
        <f>G674-B674</f>
        <v>18281.28</v>
      </c>
      <c r="E674" s="8" t="s">
        <v>8</v>
      </c>
      <c r="F674" s="8" t="s">
        <v>8</v>
      </c>
      <c r="G674" s="90">
        <f>77329-1157</f>
        <v>76172</v>
      </c>
      <c r="H674" s="91"/>
      <c r="I674">
        <f>G674/K676</f>
        <v>0.30252795043390196</v>
      </c>
    </row>
    <row r="675" spans="1:11" ht="30.75" hidden="1" thickBot="1" x14ac:dyDescent="0.3">
      <c r="A675" s="2" t="s">
        <v>12</v>
      </c>
      <c r="B675" s="6">
        <f>G675*76%</f>
        <v>4321.3599999999997</v>
      </c>
      <c r="C675" s="12"/>
      <c r="D675" s="70">
        <f>G675-B675</f>
        <v>1364.6400000000003</v>
      </c>
      <c r="E675" s="8" t="s">
        <v>8</v>
      </c>
      <c r="F675" s="8" t="s">
        <v>8</v>
      </c>
      <c r="G675" s="90">
        <v>5686</v>
      </c>
      <c r="H675" s="91"/>
      <c r="I675">
        <f>G675/K676</f>
        <v>2.2582759100025815E-2</v>
      </c>
    </row>
    <row r="676" spans="1:11" ht="15.75" hidden="1" thickBot="1" x14ac:dyDescent="0.3">
      <c r="A676" s="2" t="s">
        <v>13</v>
      </c>
      <c r="B676" s="6">
        <f>G676*56%</f>
        <v>14558.880000000001</v>
      </c>
      <c r="C676" s="6"/>
      <c r="D676" s="70">
        <f>G676-B676</f>
        <v>11439.119999999999</v>
      </c>
      <c r="E676" s="8" t="s">
        <v>8</v>
      </c>
      <c r="F676" s="8" t="s">
        <v>8</v>
      </c>
      <c r="G676" s="90">
        <v>25998</v>
      </c>
      <c r="H676" s="91"/>
      <c r="J676" s="10">
        <f>G675+G674+G672</f>
        <v>251785</v>
      </c>
      <c r="K676" s="10">
        <f>G671+G674+G675</f>
        <v>251785</v>
      </c>
    </row>
    <row r="677" spans="1:11" ht="30.75" hidden="1" thickBot="1" x14ac:dyDescent="0.3">
      <c r="A677" s="2" t="s">
        <v>14</v>
      </c>
      <c r="B677" s="6">
        <f>G677*56%</f>
        <v>12036.080000000002</v>
      </c>
      <c r="C677" s="6"/>
      <c r="D677" s="70">
        <f>G677-B677</f>
        <v>9456.9199999999983</v>
      </c>
      <c r="E677" s="8" t="s">
        <v>8</v>
      </c>
      <c r="F677" s="8" t="s">
        <v>8</v>
      </c>
      <c r="G677" s="90">
        <f>13939+7554</f>
        <v>21493</v>
      </c>
      <c r="H677" s="91"/>
    </row>
    <row r="678" spans="1:11" ht="45.75" hidden="1" thickBot="1" x14ac:dyDescent="0.3">
      <c r="A678" s="2" t="s">
        <v>15</v>
      </c>
      <c r="B678" s="8" t="s">
        <v>8</v>
      </c>
      <c r="C678" s="8" t="s">
        <v>8</v>
      </c>
      <c r="D678" s="6"/>
      <c r="E678" s="8" t="s">
        <v>8</v>
      </c>
      <c r="F678" s="8" t="s">
        <v>8</v>
      </c>
      <c r="G678" s="90"/>
      <c r="H678" s="91"/>
    </row>
    <row r="679" spans="1:11" ht="15.75" hidden="1" thickBot="1" x14ac:dyDescent="0.3">
      <c r="A679" s="2" t="s">
        <v>16</v>
      </c>
      <c r="B679" s="8" t="s">
        <v>8</v>
      </c>
      <c r="C679" s="8" t="s">
        <v>8</v>
      </c>
      <c r="D679" s="12"/>
      <c r="E679" s="6">
        <v>0</v>
      </c>
      <c r="F679" s="6"/>
      <c r="G679" s="90">
        <v>0</v>
      </c>
      <c r="H679" s="91"/>
    </row>
    <row r="680" spans="1:11" ht="15.75" hidden="1" thickBot="1" x14ac:dyDescent="0.3">
      <c r="A680" s="3" t="s">
        <v>17</v>
      </c>
      <c r="B680" s="6">
        <f>G680*56%</f>
        <v>0</v>
      </c>
      <c r="C680" s="8"/>
      <c r="D680" s="6"/>
      <c r="E680" s="6">
        <f>G680-B680</f>
        <v>0</v>
      </c>
      <c r="F680" s="6"/>
      <c r="G680" s="90">
        <v>0</v>
      </c>
      <c r="H680" s="91"/>
    </row>
    <row r="681" spans="1:11" ht="15.75" hidden="1" thickBot="1" x14ac:dyDescent="0.3">
      <c r="A681" s="3" t="s">
        <v>18</v>
      </c>
      <c r="B681" s="6"/>
      <c r="C681" s="8"/>
      <c r="D681" s="8"/>
      <c r="E681" s="6"/>
      <c r="F681" s="6"/>
      <c r="G681" s="90"/>
      <c r="H681" s="91"/>
    </row>
    <row r="682" spans="1:11" ht="45.75" hidden="1" thickBot="1" x14ac:dyDescent="0.3">
      <c r="A682" s="2" t="s">
        <v>19</v>
      </c>
      <c r="B682" s="6"/>
      <c r="C682" s="8"/>
      <c r="D682" s="6"/>
      <c r="E682" s="6"/>
      <c r="F682" s="6"/>
      <c r="G682" s="94"/>
      <c r="H682" s="95"/>
    </row>
    <row r="683" spans="1:11" ht="30.75" thickBot="1" x14ac:dyDescent="0.3">
      <c r="A683" s="2" t="s">
        <v>20</v>
      </c>
      <c r="B683" s="6"/>
      <c r="C683" s="8"/>
      <c r="D683" s="6"/>
      <c r="E683" s="6">
        <f>G683-B683</f>
        <v>38142</v>
      </c>
      <c r="F683" s="6"/>
      <c r="G683" s="90">
        <v>38142</v>
      </c>
      <c r="H683" s="91"/>
    </row>
    <row r="684" spans="1:11" ht="30.75" thickBot="1" x14ac:dyDescent="0.3">
      <c r="A684" s="2" t="s">
        <v>21</v>
      </c>
      <c r="B684" s="6">
        <f>G684*56%-10000</f>
        <v>12850.800000000003</v>
      </c>
      <c r="C684" s="6"/>
      <c r="D684" s="70">
        <f>G684-B684</f>
        <v>27954.199999999997</v>
      </c>
      <c r="E684" s="8" t="s">
        <v>8</v>
      </c>
      <c r="F684" s="8" t="s">
        <v>8</v>
      </c>
      <c r="G684" s="90">
        <f>38990+241+1574</f>
        <v>40805</v>
      </c>
      <c r="H684" s="91"/>
    </row>
    <row r="685" spans="1:11" ht="15.75" thickBot="1" x14ac:dyDescent="0.3">
      <c r="A685" s="3" t="s">
        <v>22</v>
      </c>
      <c r="B685" s="6">
        <f>G685*56%-15144</f>
        <v>11318.240000000002</v>
      </c>
      <c r="C685" s="6"/>
      <c r="D685" s="70">
        <f>G685-B685</f>
        <v>35935.759999999995</v>
      </c>
      <c r="E685" s="8" t="s">
        <v>8</v>
      </c>
      <c r="F685" s="8" t="s">
        <v>8</v>
      </c>
      <c r="G685" s="90">
        <f>15320+133+10125+17927+3739+10</f>
        <v>47254</v>
      </c>
      <c r="H685" s="91"/>
      <c r="J685">
        <v>40435</v>
      </c>
    </row>
    <row r="686" spans="1:11" ht="15.75" thickBot="1" x14ac:dyDescent="0.3">
      <c r="A686" s="3" t="s">
        <v>23</v>
      </c>
      <c r="B686" s="8" t="s">
        <v>8</v>
      </c>
      <c r="C686" s="12"/>
      <c r="D686" s="8" t="s">
        <v>8</v>
      </c>
      <c r="E686" s="8" t="s">
        <v>8</v>
      </c>
      <c r="F686" s="8" t="s">
        <v>8</v>
      </c>
      <c r="G686" s="94"/>
      <c r="H686" s="95"/>
    </row>
    <row r="687" spans="1:11" ht="15.75" thickBot="1" x14ac:dyDescent="0.3">
      <c r="A687" s="3" t="s">
        <v>24</v>
      </c>
      <c r="B687" s="6">
        <f>G687*56%</f>
        <v>0</v>
      </c>
      <c r="C687" s="6"/>
      <c r="D687" s="6"/>
      <c r="E687" s="8" t="s">
        <v>8</v>
      </c>
      <c r="F687" s="8" t="s">
        <v>8</v>
      </c>
      <c r="G687" s="90"/>
      <c r="H687" s="91"/>
    </row>
    <row r="688" spans="1:11" ht="15.75" thickBot="1" x14ac:dyDescent="0.3">
      <c r="A688" s="4" t="s">
        <v>25</v>
      </c>
      <c r="B688" s="6">
        <f>SUM(B672:B687)</f>
        <v>242120.59999999998</v>
      </c>
      <c r="C688" s="6"/>
      <c r="D688" s="6">
        <f>SUM(D672:D687)</f>
        <v>145214.39999999997</v>
      </c>
      <c r="E688" s="6">
        <f>SUM(E672:E687)</f>
        <v>38142</v>
      </c>
      <c r="F688" s="6"/>
      <c r="G688" s="90">
        <f>SUM(G672:H687)</f>
        <v>425477</v>
      </c>
      <c r="H688" s="91"/>
      <c r="J688" s="10">
        <f>425477-G688</f>
        <v>0</v>
      </c>
    </row>
    <row r="689" spans="1:8" x14ac:dyDescent="0.25">
      <c r="A689" s="92" t="s">
        <v>26</v>
      </c>
      <c r="B689" s="92"/>
      <c r="C689" s="92"/>
      <c r="D689" s="92"/>
      <c r="E689" s="92"/>
      <c r="F689" s="92"/>
      <c r="G689" s="92"/>
      <c r="H689" s="92"/>
    </row>
    <row r="690" spans="1:8" x14ac:dyDescent="0.25">
      <c r="A690" s="93" t="s">
        <v>27</v>
      </c>
      <c r="B690" s="93"/>
      <c r="C690" s="93"/>
      <c r="D690" s="93"/>
      <c r="E690" s="93"/>
      <c r="F690" s="93"/>
      <c r="G690" s="93"/>
      <c r="H690" s="93"/>
    </row>
    <row r="691" spans="1:8" x14ac:dyDescent="0.25">
      <c r="A691" s="93" t="s">
        <v>28</v>
      </c>
      <c r="B691" s="93"/>
      <c r="C691" s="93"/>
      <c r="D691" s="93"/>
      <c r="E691" s="93"/>
      <c r="F691" s="93"/>
      <c r="G691" s="93"/>
      <c r="H691" s="93"/>
    </row>
    <row r="692" spans="1:8" x14ac:dyDescent="0.25">
      <c r="A692" s="1"/>
      <c r="B692" s="9"/>
      <c r="C692" s="9"/>
      <c r="D692" s="9"/>
      <c r="E692" s="9"/>
      <c r="F692" s="9"/>
      <c r="G692" s="9"/>
      <c r="H692" s="9"/>
    </row>
    <row r="693" spans="1:8" ht="15.75" x14ac:dyDescent="0.25">
      <c r="A693" s="5"/>
      <c r="B693" s="13" t="s">
        <v>140</v>
      </c>
      <c r="C693" s="13">
        <v>233404</v>
      </c>
    </row>
    <row r="695" spans="1:8" x14ac:dyDescent="0.25">
      <c r="B695" s="10">
        <f>233404-B688</f>
        <v>-8716.5999999999767</v>
      </c>
      <c r="C695"/>
      <c r="D695"/>
      <c r="E695"/>
      <c r="F695"/>
      <c r="G695"/>
      <c r="H695"/>
    </row>
    <row r="696" spans="1:8" x14ac:dyDescent="0.25">
      <c r="C696"/>
      <c r="D696"/>
      <c r="E696"/>
      <c r="F696"/>
      <c r="G696"/>
      <c r="H696"/>
    </row>
    <row r="697" spans="1:8" x14ac:dyDescent="0.25">
      <c r="C697"/>
      <c r="D697"/>
      <c r="E697"/>
      <c r="F697"/>
      <c r="G697"/>
      <c r="H697"/>
    </row>
    <row r="698" spans="1:8" x14ac:dyDescent="0.25">
      <c r="C698"/>
      <c r="D698"/>
      <c r="E698"/>
      <c r="F698"/>
      <c r="G698"/>
      <c r="H698"/>
    </row>
    <row r="699" spans="1:8" x14ac:dyDescent="0.25">
      <c r="B699"/>
      <c r="C699"/>
      <c r="D699"/>
      <c r="E699"/>
      <c r="F699"/>
      <c r="G699"/>
      <c r="H699"/>
    </row>
    <row r="700" spans="1:8" x14ac:dyDescent="0.25">
      <c r="B700"/>
      <c r="C700"/>
      <c r="D700"/>
      <c r="E700"/>
      <c r="F700"/>
      <c r="G700"/>
      <c r="H700"/>
    </row>
    <row r="701" spans="1:8" x14ac:dyDescent="0.25">
      <c r="B701"/>
      <c r="C701"/>
      <c r="D701"/>
      <c r="E701"/>
      <c r="F701"/>
      <c r="G701"/>
      <c r="H701"/>
    </row>
    <row r="702" spans="1:8" x14ac:dyDescent="0.25">
      <c r="B702"/>
      <c r="C702"/>
      <c r="D702"/>
      <c r="E702"/>
      <c r="F702"/>
      <c r="G702"/>
      <c r="H702"/>
    </row>
    <row r="703" spans="1:8" x14ac:dyDescent="0.25">
      <c r="B703"/>
      <c r="C703"/>
      <c r="D703"/>
      <c r="E703"/>
      <c r="F703"/>
      <c r="G703"/>
      <c r="H703"/>
    </row>
    <row r="704" spans="1:8" x14ac:dyDescent="0.25">
      <c r="B704"/>
      <c r="C704"/>
      <c r="D704"/>
      <c r="E704"/>
      <c r="F704"/>
      <c r="G704"/>
      <c r="H704"/>
    </row>
    <row r="705" spans="2:8" x14ac:dyDescent="0.25">
      <c r="B705"/>
      <c r="C705"/>
      <c r="D705"/>
      <c r="E705"/>
      <c r="F705"/>
      <c r="G705"/>
      <c r="H705"/>
    </row>
  </sheetData>
  <mergeCells count="707">
    <mergeCell ref="G688:H688"/>
    <mergeCell ref="A689:H689"/>
    <mergeCell ref="A690:H690"/>
    <mergeCell ref="A691:H691"/>
    <mergeCell ref="G682:H682"/>
    <mergeCell ref="G683:H683"/>
    <mergeCell ref="G684:H684"/>
    <mergeCell ref="G685:H685"/>
    <mergeCell ref="G686:H686"/>
    <mergeCell ref="G687:H687"/>
    <mergeCell ref="G677:H677"/>
    <mergeCell ref="G678:H678"/>
    <mergeCell ref="G679:H679"/>
    <mergeCell ref="G680:H680"/>
    <mergeCell ref="G681:H681"/>
    <mergeCell ref="G670:H670"/>
    <mergeCell ref="G671:H671"/>
    <mergeCell ref="G672:H672"/>
    <mergeCell ref="G673:H673"/>
    <mergeCell ref="G674:H674"/>
    <mergeCell ref="G675:H675"/>
    <mergeCell ref="A666:H666"/>
    <mergeCell ref="A667:A669"/>
    <mergeCell ref="B667:F667"/>
    <mergeCell ref="G667:H667"/>
    <mergeCell ref="B668:C668"/>
    <mergeCell ref="E668:F668"/>
    <mergeCell ref="G668:H668"/>
    <mergeCell ref="G669:H669"/>
    <mergeCell ref="G676:H676"/>
    <mergeCell ref="G646:H646"/>
    <mergeCell ref="A647:H647"/>
    <mergeCell ref="A648:H648"/>
    <mergeCell ref="A649:H649"/>
    <mergeCell ref="E663:H663"/>
    <mergeCell ref="A664:A665"/>
    <mergeCell ref="B664:B665"/>
    <mergeCell ref="C664:C665"/>
    <mergeCell ref="D664:D665"/>
    <mergeCell ref="E664:H664"/>
    <mergeCell ref="E665:H665"/>
    <mergeCell ref="G640:H640"/>
    <mergeCell ref="G641:H641"/>
    <mergeCell ref="G642:H642"/>
    <mergeCell ref="G643:H643"/>
    <mergeCell ref="G644:H644"/>
    <mergeCell ref="G645:H645"/>
    <mergeCell ref="G634:H634"/>
    <mergeCell ref="G635:H635"/>
    <mergeCell ref="G636:H636"/>
    <mergeCell ref="G637:H637"/>
    <mergeCell ref="G638:H638"/>
    <mergeCell ref="G639:H639"/>
    <mergeCell ref="G628:H628"/>
    <mergeCell ref="G629:H629"/>
    <mergeCell ref="G630:H630"/>
    <mergeCell ref="G631:H631"/>
    <mergeCell ref="G632:H632"/>
    <mergeCell ref="G633:H633"/>
    <mergeCell ref="E623:H623"/>
    <mergeCell ref="A624:H624"/>
    <mergeCell ref="A625:A627"/>
    <mergeCell ref="B625:F625"/>
    <mergeCell ref="G625:H625"/>
    <mergeCell ref="B626:C626"/>
    <mergeCell ref="E626:F626"/>
    <mergeCell ref="G626:H626"/>
    <mergeCell ref="G627:H627"/>
    <mergeCell ref="G610:H610"/>
    <mergeCell ref="A611:H611"/>
    <mergeCell ref="A612:H612"/>
    <mergeCell ref="A613:H613"/>
    <mergeCell ref="E621:H621"/>
    <mergeCell ref="A622:A623"/>
    <mergeCell ref="B622:B623"/>
    <mergeCell ref="C622:C623"/>
    <mergeCell ref="D622:D623"/>
    <mergeCell ref="E622:H622"/>
    <mergeCell ref="G604:H604"/>
    <mergeCell ref="G605:H605"/>
    <mergeCell ref="G606:H606"/>
    <mergeCell ref="G607:H607"/>
    <mergeCell ref="G608:H608"/>
    <mergeCell ref="G609:H609"/>
    <mergeCell ref="G598:H598"/>
    <mergeCell ref="G599:H599"/>
    <mergeCell ref="G600:H600"/>
    <mergeCell ref="G601:H601"/>
    <mergeCell ref="G602:H602"/>
    <mergeCell ref="G603:H603"/>
    <mergeCell ref="G592:H592"/>
    <mergeCell ref="G593:H593"/>
    <mergeCell ref="G594:H594"/>
    <mergeCell ref="G595:H595"/>
    <mergeCell ref="G596:H596"/>
    <mergeCell ref="G597:H597"/>
    <mergeCell ref="E587:H587"/>
    <mergeCell ref="A588:H588"/>
    <mergeCell ref="A589:A591"/>
    <mergeCell ref="B589:F589"/>
    <mergeCell ref="G589:H589"/>
    <mergeCell ref="B590:C590"/>
    <mergeCell ref="E590:F590"/>
    <mergeCell ref="G590:H590"/>
    <mergeCell ref="G591:H591"/>
    <mergeCell ref="G575:H575"/>
    <mergeCell ref="A576:H576"/>
    <mergeCell ref="A577:H577"/>
    <mergeCell ref="A578:H578"/>
    <mergeCell ref="E585:H585"/>
    <mergeCell ref="A586:A587"/>
    <mergeCell ref="B586:B587"/>
    <mergeCell ref="C586:C587"/>
    <mergeCell ref="D586:D587"/>
    <mergeCell ref="E586:H586"/>
    <mergeCell ref="G569:H569"/>
    <mergeCell ref="G570:H570"/>
    <mergeCell ref="G571:H571"/>
    <mergeCell ref="G572:H572"/>
    <mergeCell ref="G573:H573"/>
    <mergeCell ref="G574:H574"/>
    <mergeCell ref="G563:H563"/>
    <mergeCell ref="G564:H564"/>
    <mergeCell ref="G565:H565"/>
    <mergeCell ref="G566:H566"/>
    <mergeCell ref="G567:H567"/>
    <mergeCell ref="G568:H568"/>
    <mergeCell ref="G557:H557"/>
    <mergeCell ref="G558:H558"/>
    <mergeCell ref="G559:H559"/>
    <mergeCell ref="G560:H560"/>
    <mergeCell ref="G561:H561"/>
    <mergeCell ref="G562:H562"/>
    <mergeCell ref="E552:H552"/>
    <mergeCell ref="A553:H553"/>
    <mergeCell ref="A554:A556"/>
    <mergeCell ref="B554:F554"/>
    <mergeCell ref="G554:H554"/>
    <mergeCell ref="B555:C555"/>
    <mergeCell ref="E555:F555"/>
    <mergeCell ref="G555:H555"/>
    <mergeCell ref="G556:H556"/>
    <mergeCell ref="G533:H533"/>
    <mergeCell ref="A534:H534"/>
    <mergeCell ref="A535:H535"/>
    <mergeCell ref="A536:H536"/>
    <mergeCell ref="E550:H550"/>
    <mergeCell ref="A551:A552"/>
    <mergeCell ref="B551:B552"/>
    <mergeCell ref="C551:C552"/>
    <mergeCell ref="D551:D552"/>
    <mergeCell ref="E551:H551"/>
    <mergeCell ref="G527:H527"/>
    <mergeCell ref="G528:H528"/>
    <mergeCell ref="G529:H529"/>
    <mergeCell ref="G530:H530"/>
    <mergeCell ref="G531:H531"/>
    <mergeCell ref="G532:H532"/>
    <mergeCell ref="G521:H521"/>
    <mergeCell ref="G522:H522"/>
    <mergeCell ref="G523:H523"/>
    <mergeCell ref="G524:H524"/>
    <mergeCell ref="G525:H525"/>
    <mergeCell ref="G526:H526"/>
    <mergeCell ref="G515:H515"/>
    <mergeCell ref="G516:H516"/>
    <mergeCell ref="G517:H517"/>
    <mergeCell ref="G518:H518"/>
    <mergeCell ref="G519:H519"/>
    <mergeCell ref="G520:H520"/>
    <mergeCell ref="E510:H510"/>
    <mergeCell ref="A511:H511"/>
    <mergeCell ref="A512:A514"/>
    <mergeCell ref="B512:F512"/>
    <mergeCell ref="G512:H512"/>
    <mergeCell ref="B513:C513"/>
    <mergeCell ref="E513:F513"/>
    <mergeCell ref="G513:H513"/>
    <mergeCell ref="G514:H514"/>
    <mergeCell ref="G499:H499"/>
    <mergeCell ref="A500:H500"/>
    <mergeCell ref="A501:H501"/>
    <mergeCell ref="A502:H502"/>
    <mergeCell ref="E508:H508"/>
    <mergeCell ref="A509:A510"/>
    <mergeCell ref="B509:B510"/>
    <mergeCell ref="C509:C510"/>
    <mergeCell ref="D509:D510"/>
    <mergeCell ref="E509:H509"/>
    <mergeCell ref="G493:H493"/>
    <mergeCell ref="G494:H494"/>
    <mergeCell ref="G495:H495"/>
    <mergeCell ref="G496:H496"/>
    <mergeCell ref="G497:H497"/>
    <mergeCell ref="G498:H498"/>
    <mergeCell ref="G487:H487"/>
    <mergeCell ref="G488:H488"/>
    <mergeCell ref="G489:H489"/>
    <mergeCell ref="G490:H490"/>
    <mergeCell ref="G491:H491"/>
    <mergeCell ref="G492:H492"/>
    <mergeCell ref="G481:H481"/>
    <mergeCell ref="G482:H482"/>
    <mergeCell ref="G483:H483"/>
    <mergeCell ref="G484:H484"/>
    <mergeCell ref="G485:H485"/>
    <mergeCell ref="G486:H486"/>
    <mergeCell ref="E476:H476"/>
    <mergeCell ref="A477:H477"/>
    <mergeCell ref="A478:A480"/>
    <mergeCell ref="B478:F478"/>
    <mergeCell ref="G478:H478"/>
    <mergeCell ref="B479:C479"/>
    <mergeCell ref="E479:F479"/>
    <mergeCell ref="G479:H479"/>
    <mergeCell ref="G480:H480"/>
    <mergeCell ref="G465:H465"/>
    <mergeCell ref="A466:H466"/>
    <mergeCell ref="A467:H467"/>
    <mergeCell ref="A468:H468"/>
    <mergeCell ref="E474:H474"/>
    <mergeCell ref="A475:A476"/>
    <mergeCell ref="B475:B476"/>
    <mergeCell ref="C475:C476"/>
    <mergeCell ref="D475:D476"/>
    <mergeCell ref="E475:H475"/>
    <mergeCell ref="G459:H459"/>
    <mergeCell ref="G460:H460"/>
    <mergeCell ref="G461:H461"/>
    <mergeCell ref="G462:H462"/>
    <mergeCell ref="G463:H463"/>
    <mergeCell ref="G464:H464"/>
    <mergeCell ref="G453:H453"/>
    <mergeCell ref="G454:H454"/>
    <mergeCell ref="G455:H455"/>
    <mergeCell ref="G456:H456"/>
    <mergeCell ref="G457:H457"/>
    <mergeCell ref="G458:H458"/>
    <mergeCell ref="G447:H447"/>
    <mergeCell ref="G448:H448"/>
    <mergeCell ref="G449:H449"/>
    <mergeCell ref="G450:H450"/>
    <mergeCell ref="G451:H451"/>
    <mergeCell ref="G452:H452"/>
    <mergeCell ref="A443:H443"/>
    <mergeCell ref="A444:A446"/>
    <mergeCell ref="B444:F444"/>
    <mergeCell ref="G444:H444"/>
    <mergeCell ref="B445:C445"/>
    <mergeCell ref="E445:F445"/>
    <mergeCell ref="G445:H445"/>
    <mergeCell ref="G446:H446"/>
    <mergeCell ref="G423:H423"/>
    <mergeCell ref="A424:H426"/>
    <mergeCell ref="E440:H440"/>
    <mergeCell ref="A441:A442"/>
    <mergeCell ref="B441:B442"/>
    <mergeCell ref="C441:C442"/>
    <mergeCell ref="D441:D442"/>
    <mergeCell ref="E441:H441"/>
    <mergeCell ref="E442:H442"/>
    <mergeCell ref="G417:H417"/>
    <mergeCell ref="G418:H418"/>
    <mergeCell ref="G419:H419"/>
    <mergeCell ref="G420:H420"/>
    <mergeCell ref="G421:H421"/>
    <mergeCell ref="G422:H422"/>
    <mergeCell ref="G411:H411"/>
    <mergeCell ref="G412:H412"/>
    <mergeCell ref="G413:H413"/>
    <mergeCell ref="G414:H414"/>
    <mergeCell ref="G415:H415"/>
    <mergeCell ref="G416:H416"/>
    <mergeCell ref="G405:H405"/>
    <mergeCell ref="G406:H406"/>
    <mergeCell ref="G407:H407"/>
    <mergeCell ref="G408:H408"/>
    <mergeCell ref="G409:H409"/>
    <mergeCell ref="G410:H410"/>
    <mergeCell ref="E397:H397"/>
    <mergeCell ref="A401:H401"/>
    <mergeCell ref="A402:A404"/>
    <mergeCell ref="B402:F402"/>
    <mergeCell ref="G402:H403"/>
    <mergeCell ref="B403:C403"/>
    <mergeCell ref="E403:F403"/>
    <mergeCell ref="G404:H404"/>
    <mergeCell ref="G383:H383"/>
    <mergeCell ref="A384:H384"/>
    <mergeCell ref="A385:H385"/>
    <mergeCell ref="A386:H386"/>
    <mergeCell ref="E394:H394"/>
    <mergeCell ref="A395:A397"/>
    <mergeCell ref="B395:B397"/>
    <mergeCell ref="C395:C397"/>
    <mergeCell ref="D395:D397"/>
    <mergeCell ref="E395:H395"/>
    <mergeCell ref="G377:H377"/>
    <mergeCell ref="G378:H378"/>
    <mergeCell ref="G379:H379"/>
    <mergeCell ref="G380:H380"/>
    <mergeCell ref="G381:H381"/>
    <mergeCell ref="G382:H382"/>
    <mergeCell ref="G371:H371"/>
    <mergeCell ref="G372:H372"/>
    <mergeCell ref="G373:H373"/>
    <mergeCell ref="G374:H374"/>
    <mergeCell ref="G375:H375"/>
    <mergeCell ref="G376:H376"/>
    <mergeCell ref="G365:H365"/>
    <mergeCell ref="G366:H366"/>
    <mergeCell ref="G367:H367"/>
    <mergeCell ref="G368:H368"/>
    <mergeCell ref="G369:H369"/>
    <mergeCell ref="G370:H370"/>
    <mergeCell ref="E360:H360"/>
    <mergeCell ref="A361:H361"/>
    <mergeCell ref="A362:A364"/>
    <mergeCell ref="B362:F362"/>
    <mergeCell ref="G362:H362"/>
    <mergeCell ref="B363:C363"/>
    <mergeCell ref="E363:F363"/>
    <mergeCell ref="G363:H363"/>
    <mergeCell ref="G364:H364"/>
    <mergeCell ref="G348:H348"/>
    <mergeCell ref="A349:H349"/>
    <mergeCell ref="A350:H350"/>
    <mergeCell ref="A351:H351"/>
    <mergeCell ref="E358:H358"/>
    <mergeCell ref="A359:A360"/>
    <mergeCell ref="B359:B360"/>
    <mergeCell ref="C359:C360"/>
    <mergeCell ref="D359:D360"/>
    <mergeCell ref="E359:H359"/>
    <mergeCell ref="G342:H342"/>
    <mergeCell ref="G343:H343"/>
    <mergeCell ref="G344:H344"/>
    <mergeCell ref="G345:H345"/>
    <mergeCell ref="G346:H346"/>
    <mergeCell ref="G347:H347"/>
    <mergeCell ref="G336:H336"/>
    <mergeCell ref="G337:H337"/>
    <mergeCell ref="G338:H338"/>
    <mergeCell ref="G339:H339"/>
    <mergeCell ref="G340:H340"/>
    <mergeCell ref="G341:H341"/>
    <mergeCell ref="G330:H330"/>
    <mergeCell ref="G331:H331"/>
    <mergeCell ref="G332:H332"/>
    <mergeCell ref="G333:H333"/>
    <mergeCell ref="G334:H334"/>
    <mergeCell ref="G335:H335"/>
    <mergeCell ref="E325:H325"/>
    <mergeCell ref="A326:H326"/>
    <mergeCell ref="A327:A329"/>
    <mergeCell ref="B327:F327"/>
    <mergeCell ref="G327:H327"/>
    <mergeCell ref="B328:C328"/>
    <mergeCell ref="E328:F328"/>
    <mergeCell ref="G328:H328"/>
    <mergeCell ref="G329:H329"/>
    <mergeCell ref="G315:H315"/>
    <mergeCell ref="A316:H316"/>
    <mergeCell ref="A317:H317"/>
    <mergeCell ref="A318:H318"/>
    <mergeCell ref="E323:H323"/>
    <mergeCell ref="A324:A325"/>
    <mergeCell ref="B324:B325"/>
    <mergeCell ref="C324:C325"/>
    <mergeCell ref="D324:D325"/>
    <mergeCell ref="E324:H324"/>
    <mergeCell ref="G309:H309"/>
    <mergeCell ref="G310:H310"/>
    <mergeCell ref="G311:H311"/>
    <mergeCell ref="G312:H312"/>
    <mergeCell ref="G313:H313"/>
    <mergeCell ref="G314:H314"/>
    <mergeCell ref="G303:H303"/>
    <mergeCell ref="G304:H304"/>
    <mergeCell ref="G305:H305"/>
    <mergeCell ref="G306:H306"/>
    <mergeCell ref="G307:H307"/>
    <mergeCell ref="G308:H308"/>
    <mergeCell ref="G297:H297"/>
    <mergeCell ref="G298:H298"/>
    <mergeCell ref="G299:H299"/>
    <mergeCell ref="G300:H300"/>
    <mergeCell ref="G301:H301"/>
    <mergeCell ref="G302:H302"/>
    <mergeCell ref="E292:H292"/>
    <mergeCell ref="A293:H293"/>
    <mergeCell ref="A294:A296"/>
    <mergeCell ref="B294:F294"/>
    <mergeCell ref="G294:H294"/>
    <mergeCell ref="B295:C295"/>
    <mergeCell ref="E295:F295"/>
    <mergeCell ref="G295:H295"/>
    <mergeCell ref="G296:H296"/>
    <mergeCell ref="G282:H282"/>
    <mergeCell ref="A283:H283"/>
    <mergeCell ref="A284:H284"/>
    <mergeCell ref="A285:H285"/>
    <mergeCell ref="E290:H290"/>
    <mergeCell ref="A291:A292"/>
    <mergeCell ref="B291:B292"/>
    <mergeCell ref="C291:C292"/>
    <mergeCell ref="D291:D292"/>
    <mergeCell ref="E291:H291"/>
    <mergeCell ref="G276:H276"/>
    <mergeCell ref="G277:H277"/>
    <mergeCell ref="G278:H278"/>
    <mergeCell ref="G279:H279"/>
    <mergeCell ref="G280:H280"/>
    <mergeCell ref="G281:H281"/>
    <mergeCell ref="G270:H270"/>
    <mergeCell ref="G271:H271"/>
    <mergeCell ref="G272:H272"/>
    <mergeCell ref="G273:H273"/>
    <mergeCell ref="G274:H274"/>
    <mergeCell ref="G275:H275"/>
    <mergeCell ref="G264:H264"/>
    <mergeCell ref="G265:H265"/>
    <mergeCell ref="G266:H266"/>
    <mergeCell ref="G267:H267"/>
    <mergeCell ref="G268:H268"/>
    <mergeCell ref="G269:H269"/>
    <mergeCell ref="E259:H259"/>
    <mergeCell ref="A260:H260"/>
    <mergeCell ref="A261:A263"/>
    <mergeCell ref="B261:F261"/>
    <mergeCell ref="G261:H261"/>
    <mergeCell ref="B262:C262"/>
    <mergeCell ref="E262:F262"/>
    <mergeCell ref="G262:H262"/>
    <mergeCell ref="G263:H263"/>
    <mergeCell ref="G248:H248"/>
    <mergeCell ref="A249:H249"/>
    <mergeCell ref="A250:H250"/>
    <mergeCell ref="A251:H251"/>
    <mergeCell ref="E257:H257"/>
    <mergeCell ref="A258:A259"/>
    <mergeCell ref="B258:B259"/>
    <mergeCell ref="C258:C259"/>
    <mergeCell ref="D258:D259"/>
    <mergeCell ref="E258:H258"/>
    <mergeCell ref="G242:H242"/>
    <mergeCell ref="G243:H243"/>
    <mergeCell ref="G244:H244"/>
    <mergeCell ref="G245:H245"/>
    <mergeCell ref="G246:H246"/>
    <mergeCell ref="G247:H247"/>
    <mergeCell ref="G236:H236"/>
    <mergeCell ref="G237:H237"/>
    <mergeCell ref="G238:H238"/>
    <mergeCell ref="G239:H239"/>
    <mergeCell ref="G240:H240"/>
    <mergeCell ref="G241:H241"/>
    <mergeCell ref="G230:H230"/>
    <mergeCell ref="G231:H231"/>
    <mergeCell ref="G232:H232"/>
    <mergeCell ref="G233:H233"/>
    <mergeCell ref="G234:H234"/>
    <mergeCell ref="G235:H235"/>
    <mergeCell ref="E225:H225"/>
    <mergeCell ref="A226:H226"/>
    <mergeCell ref="A227:A229"/>
    <mergeCell ref="B227:F227"/>
    <mergeCell ref="G227:H227"/>
    <mergeCell ref="B228:C228"/>
    <mergeCell ref="E228:F228"/>
    <mergeCell ref="G228:H228"/>
    <mergeCell ref="G229:H229"/>
    <mergeCell ref="G214:H214"/>
    <mergeCell ref="A215:H215"/>
    <mergeCell ref="A216:H216"/>
    <mergeCell ref="A217:H217"/>
    <mergeCell ref="E223:H223"/>
    <mergeCell ref="A224:A225"/>
    <mergeCell ref="B224:B225"/>
    <mergeCell ref="C224:C225"/>
    <mergeCell ref="D224:D225"/>
    <mergeCell ref="E224:H224"/>
    <mergeCell ref="G208:H208"/>
    <mergeCell ref="G209:H209"/>
    <mergeCell ref="G210:H210"/>
    <mergeCell ref="G211:H211"/>
    <mergeCell ref="G212:H212"/>
    <mergeCell ref="G213:H213"/>
    <mergeCell ref="G202:H202"/>
    <mergeCell ref="G203:H203"/>
    <mergeCell ref="G204:H204"/>
    <mergeCell ref="G205:H205"/>
    <mergeCell ref="G206:H206"/>
    <mergeCell ref="G207:H207"/>
    <mergeCell ref="G196:H196"/>
    <mergeCell ref="G197:H197"/>
    <mergeCell ref="G198:H198"/>
    <mergeCell ref="G199:H199"/>
    <mergeCell ref="G200:H200"/>
    <mergeCell ref="G201:H201"/>
    <mergeCell ref="E191:H191"/>
    <mergeCell ref="A192:H192"/>
    <mergeCell ref="A193:A195"/>
    <mergeCell ref="B193:F193"/>
    <mergeCell ref="G193:H193"/>
    <mergeCell ref="B194:C194"/>
    <mergeCell ref="E194:F194"/>
    <mergeCell ref="G194:H194"/>
    <mergeCell ref="G195:H195"/>
    <mergeCell ref="G180:H180"/>
    <mergeCell ref="A181:H181"/>
    <mergeCell ref="A182:H182"/>
    <mergeCell ref="A183:H183"/>
    <mergeCell ref="E189:H189"/>
    <mergeCell ref="A190:A191"/>
    <mergeCell ref="B190:B191"/>
    <mergeCell ref="C190:C191"/>
    <mergeCell ref="D190:D191"/>
    <mergeCell ref="E190:H190"/>
    <mergeCell ref="G174:H174"/>
    <mergeCell ref="G175:H175"/>
    <mergeCell ref="G176:H176"/>
    <mergeCell ref="G177:H177"/>
    <mergeCell ref="G178:H178"/>
    <mergeCell ref="G179:H179"/>
    <mergeCell ref="G168:H168"/>
    <mergeCell ref="G169:H169"/>
    <mergeCell ref="G170:H170"/>
    <mergeCell ref="G171:H171"/>
    <mergeCell ref="G172:H172"/>
    <mergeCell ref="G173:H173"/>
    <mergeCell ref="G162:H162"/>
    <mergeCell ref="G163:H163"/>
    <mergeCell ref="G164:H164"/>
    <mergeCell ref="G165:H165"/>
    <mergeCell ref="G166:H166"/>
    <mergeCell ref="G167:H167"/>
    <mergeCell ref="E157:H157"/>
    <mergeCell ref="A158:H158"/>
    <mergeCell ref="A159:A161"/>
    <mergeCell ref="B159:F159"/>
    <mergeCell ref="G159:H159"/>
    <mergeCell ref="B160:C160"/>
    <mergeCell ref="E160:F160"/>
    <mergeCell ref="G160:H160"/>
    <mergeCell ref="G161:H161"/>
    <mergeCell ref="G145:H145"/>
    <mergeCell ref="A146:H146"/>
    <mergeCell ref="A147:H147"/>
    <mergeCell ref="A148:H148"/>
    <mergeCell ref="E155:H155"/>
    <mergeCell ref="A156:A157"/>
    <mergeCell ref="B156:B157"/>
    <mergeCell ref="C156:C157"/>
    <mergeCell ref="D156:D157"/>
    <mergeCell ref="E156:H156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27:H127"/>
    <mergeCell ref="G128:H128"/>
    <mergeCell ref="G129:H129"/>
    <mergeCell ref="G130:H130"/>
    <mergeCell ref="G131:H131"/>
    <mergeCell ref="G132:H132"/>
    <mergeCell ref="E122:H122"/>
    <mergeCell ref="A123:H123"/>
    <mergeCell ref="A124:A126"/>
    <mergeCell ref="B124:F124"/>
    <mergeCell ref="G124:H124"/>
    <mergeCell ref="B125:C125"/>
    <mergeCell ref="E125:F125"/>
    <mergeCell ref="G125:H125"/>
    <mergeCell ref="G126:H126"/>
    <mergeCell ref="G101:H101"/>
    <mergeCell ref="A102:H102"/>
    <mergeCell ref="A103:H103"/>
    <mergeCell ref="A104:H104"/>
    <mergeCell ref="E120:H120"/>
    <mergeCell ref="A121:A122"/>
    <mergeCell ref="B121:B122"/>
    <mergeCell ref="C121:C122"/>
    <mergeCell ref="D121:D122"/>
    <mergeCell ref="E121:H121"/>
    <mergeCell ref="G95:H95"/>
    <mergeCell ref="G96:H96"/>
    <mergeCell ref="G97:H97"/>
    <mergeCell ref="G98:H98"/>
    <mergeCell ref="G99:H99"/>
    <mergeCell ref="G100:H100"/>
    <mergeCell ref="G89:H89"/>
    <mergeCell ref="G90:H90"/>
    <mergeCell ref="G91:H91"/>
    <mergeCell ref="G92:H92"/>
    <mergeCell ref="G93:H93"/>
    <mergeCell ref="G94:H94"/>
    <mergeCell ref="G83:H83"/>
    <mergeCell ref="G84:H84"/>
    <mergeCell ref="G85:H85"/>
    <mergeCell ref="G86:H86"/>
    <mergeCell ref="G87:H87"/>
    <mergeCell ref="G88:H88"/>
    <mergeCell ref="E78:H78"/>
    <mergeCell ref="A79:H79"/>
    <mergeCell ref="A80:A82"/>
    <mergeCell ref="B80:F80"/>
    <mergeCell ref="G80:H80"/>
    <mergeCell ref="B81:C81"/>
    <mergeCell ref="E81:F81"/>
    <mergeCell ref="G81:H81"/>
    <mergeCell ref="G82:H82"/>
    <mergeCell ref="G63:H63"/>
    <mergeCell ref="A64:H64"/>
    <mergeCell ref="A65:H65"/>
    <mergeCell ref="A66:H66"/>
    <mergeCell ref="E76:H76"/>
    <mergeCell ref="A77:A78"/>
    <mergeCell ref="B77:B78"/>
    <mergeCell ref="C77:C78"/>
    <mergeCell ref="D77:D78"/>
    <mergeCell ref="E77:H77"/>
    <mergeCell ref="G57:H57"/>
    <mergeCell ref="G58:H58"/>
    <mergeCell ref="G59:H59"/>
    <mergeCell ref="G60:H60"/>
    <mergeCell ref="G61:H61"/>
    <mergeCell ref="G62:H62"/>
    <mergeCell ref="G51:H51"/>
    <mergeCell ref="G52:H52"/>
    <mergeCell ref="G53:H53"/>
    <mergeCell ref="G54:H54"/>
    <mergeCell ref="G55:H55"/>
    <mergeCell ref="G56:H56"/>
    <mergeCell ref="G46:H46"/>
    <mergeCell ref="G47:H47"/>
    <mergeCell ref="G48:H48"/>
    <mergeCell ref="G49:H49"/>
    <mergeCell ref="G50:H50"/>
    <mergeCell ref="E40:H40"/>
    <mergeCell ref="A41:H41"/>
    <mergeCell ref="A42:A44"/>
    <mergeCell ref="B42:F42"/>
    <mergeCell ref="G42:H42"/>
    <mergeCell ref="B43:C43"/>
    <mergeCell ref="E43:F43"/>
    <mergeCell ref="G43:H43"/>
    <mergeCell ref="G44:H44"/>
    <mergeCell ref="A29:H29"/>
    <mergeCell ref="A30:H30"/>
    <mergeCell ref="E38:H38"/>
    <mergeCell ref="A39:A40"/>
    <mergeCell ref="B39:B40"/>
    <mergeCell ref="C39:C40"/>
    <mergeCell ref="D39:D40"/>
    <mergeCell ref="E39:H39"/>
    <mergeCell ref="G45:H45"/>
    <mergeCell ref="G26:H26"/>
    <mergeCell ref="G15:H15"/>
    <mergeCell ref="G16:H16"/>
    <mergeCell ref="G17:H17"/>
    <mergeCell ref="G18:H18"/>
    <mergeCell ref="G19:H19"/>
    <mergeCell ref="G20:H20"/>
    <mergeCell ref="G27:H27"/>
    <mergeCell ref="A28:H28"/>
    <mergeCell ref="B7:C7"/>
    <mergeCell ref="E7:F7"/>
    <mergeCell ref="G7:H7"/>
    <mergeCell ref="G8:H8"/>
    <mergeCell ref="G21:H21"/>
    <mergeCell ref="G22:H22"/>
    <mergeCell ref="G23:H23"/>
    <mergeCell ref="G24:H24"/>
    <mergeCell ref="G25:H25"/>
    <mergeCell ref="E2:H2"/>
    <mergeCell ref="A3:A4"/>
    <mergeCell ref="B3:B4"/>
    <mergeCell ref="C3:C4"/>
    <mergeCell ref="D3:D4"/>
    <mergeCell ref="E3:H3"/>
    <mergeCell ref="E4:H4"/>
    <mergeCell ref="E398:H398"/>
    <mergeCell ref="A399:A400"/>
    <mergeCell ref="B399:B400"/>
    <mergeCell ref="C399:C400"/>
    <mergeCell ref="D399:D400"/>
    <mergeCell ref="E399:H399"/>
    <mergeCell ref="E400:H400"/>
    <mergeCell ref="G9:H9"/>
    <mergeCell ref="G10:H10"/>
    <mergeCell ref="G11:H11"/>
    <mergeCell ref="G12:H12"/>
    <mergeCell ref="G13:H13"/>
    <mergeCell ref="G14:H14"/>
    <mergeCell ref="A5:H5"/>
    <mergeCell ref="A6:A8"/>
    <mergeCell ref="B6:F6"/>
    <mergeCell ref="G6:H6"/>
  </mergeCells>
  <pageMargins left="0.11811023622047245" right="0.11811023622047245" top="0.15748031496062992" bottom="0.15748031496062992" header="0.31496062992125984" footer="0.31496062992125984"/>
  <pageSetup paperSize="9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0"/>
  <sheetViews>
    <sheetView tabSelected="1" workbookViewId="0">
      <selection activeCell="K29" sqref="K29"/>
    </sheetView>
  </sheetViews>
  <sheetFormatPr defaultRowHeight="15" x14ac:dyDescent="0.25"/>
  <cols>
    <col min="1" max="1" width="34.140625" customWidth="1"/>
    <col min="2" max="2" width="26.7109375" style="10" customWidth="1"/>
    <col min="3" max="3" width="15.28515625" style="10" customWidth="1"/>
    <col min="4" max="4" width="19.42578125" style="10" customWidth="1"/>
    <col min="5" max="5" width="17.28515625" style="10" customWidth="1"/>
    <col min="6" max="6" width="10.42578125" style="10" customWidth="1"/>
    <col min="7" max="7" width="12.7109375" style="10" customWidth="1"/>
    <col min="8" max="8" width="7.5703125" style="10" customWidth="1"/>
  </cols>
  <sheetData>
    <row r="1" spans="1:9" x14ac:dyDescent="0.25">
      <c r="C1"/>
      <c r="D1"/>
      <c r="E1"/>
      <c r="F1"/>
      <c r="G1"/>
      <c r="H1"/>
    </row>
    <row r="3" spans="1:9" x14ac:dyDescent="0.25">
      <c r="A3" s="85"/>
      <c r="B3" s="86"/>
      <c r="C3" s="86"/>
      <c r="D3" s="86"/>
      <c r="E3" s="112" t="s">
        <v>29</v>
      </c>
      <c r="F3" s="112"/>
      <c r="G3" s="112"/>
      <c r="H3" s="112"/>
    </row>
    <row r="4" spans="1:9" x14ac:dyDescent="0.25">
      <c r="A4" s="113"/>
      <c r="B4" s="114"/>
      <c r="C4" s="114"/>
      <c r="D4" s="115"/>
      <c r="E4" s="115" t="s">
        <v>0</v>
      </c>
      <c r="F4" s="115"/>
      <c r="G4" s="115"/>
      <c r="H4" s="115"/>
    </row>
    <row r="5" spans="1:9" x14ac:dyDescent="0.25">
      <c r="A5" s="113"/>
      <c r="B5" s="114"/>
      <c r="C5" s="114"/>
      <c r="D5" s="115"/>
      <c r="E5" s="115" t="s">
        <v>1</v>
      </c>
      <c r="F5" s="115"/>
      <c r="G5" s="115"/>
      <c r="H5" s="115"/>
    </row>
    <row r="6" spans="1:9" ht="15.75" thickBot="1" x14ac:dyDescent="0.3">
      <c r="A6" s="98" t="s">
        <v>227</v>
      </c>
      <c r="B6" s="98"/>
      <c r="C6" s="98"/>
      <c r="D6" s="98"/>
      <c r="E6" s="98"/>
      <c r="F6" s="98"/>
      <c r="G6" s="99"/>
      <c r="H6" s="99"/>
    </row>
    <row r="7" spans="1:9" ht="15.75" thickBot="1" x14ac:dyDescent="0.3">
      <c r="A7" s="100" t="s">
        <v>2</v>
      </c>
      <c r="B7" s="103" t="s">
        <v>30</v>
      </c>
      <c r="C7" s="104"/>
      <c r="D7" s="104"/>
      <c r="E7" s="104"/>
      <c r="F7" s="104"/>
      <c r="G7" s="105" t="s">
        <v>3</v>
      </c>
      <c r="H7" s="106"/>
    </row>
    <row r="8" spans="1:9" ht="105.75" thickBot="1" x14ac:dyDescent="0.3">
      <c r="A8" s="101"/>
      <c r="B8" s="96" t="s">
        <v>30</v>
      </c>
      <c r="C8" s="107"/>
      <c r="D8" s="83" t="s">
        <v>32</v>
      </c>
      <c r="E8" s="107" t="s">
        <v>4</v>
      </c>
      <c r="F8" s="97"/>
      <c r="G8" s="108"/>
      <c r="H8" s="109"/>
    </row>
    <row r="9" spans="1:9" ht="150.75" thickBot="1" x14ac:dyDescent="0.3">
      <c r="A9" s="102"/>
      <c r="B9" s="89" t="s">
        <v>36</v>
      </c>
      <c r="C9" s="89" t="s">
        <v>5</v>
      </c>
      <c r="D9" s="89" t="s">
        <v>33</v>
      </c>
      <c r="E9" s="89" t="s">
        <v>34</v>
      </c>
      <c r="F9" s="89" t="s">
        <v>35</v>
      </c>
      <c r="G9" s="110"/>
      <c r="H9" s="111"/>
    </row>
    <row r="10" spans="1:9" ht="15.75" thickBot="1" x14ac:dyDescent="0.3">
      <c r="A10" s="82">
        <v>1</v>
      </c>
      <c r="B10" s="89">
        <v>2</v>
      </c>
      <c r="C10" s="11">
        <v>3</v>
      </c>
      <c r="D10" s="89">
        <v>4</v>
      </c>
      <c r="E10" s="11">
        <v>5</v>
      </c>
      <c r="F10" s="89">
        <v>6</v>
      </c>
      <c r="G10" s="96" t="s">
        <v>37</v>
      </c>
      <c r="H10" s="97"/>
    </row>
    <row r="11" spans="1:9" ht="60.75" thickBot="1" x14ac:dyDescent="0.3">
      <c r="A11" s="2" t="s">
        <v>7</v>
      </c>
      <c r="B11" s="6">
        <f>B12</f>
        <v>21878.12</v>
      </c>
      <c r="C11" s="12"/>
      <c r="D11" s="6">
        <f>D12</f>
        <v>6908.880000000001</v>
      </c>
      <c r="E11" s="8" t="s">
        <v>8</v>
      </c>
      <c r="F11" s="8" t="s">
        <v>8</v>
      </c>
      <c r="G11" s="90">
        <f>28960-173</f>
        <v>28787</v>
      </c>
      <c r="H11" s="91"/>
    </row>
    <row r="12" spans="1:9" ht="15.75" thickBot="1" x14ac:dyDescent="0.3">
      <c r="A12" s="3" t="s">
        <v>9</v>
      </c>
      <c r="B12" s="6">
        <f>G12*76%</f>
        <v>21878.12</v>
      </c>
      <c r="C12" s="12"/>
      <c r="D12" s="84">
        <f>G12-B12</f>
        <v>6908.880000000001</v>
      </c>
      <c r="E12" s="8" t="s">
        <v>8</v>
      </c>
      <c r="F12" s="8" t="s">
        <v>8</v>
      </c>
      <c r="G12" s="90">
        <f>G11-G13</f>
        <v>28787</v>
      </c>
      <c r="H12" s="91"/>
      <c r="I12" t="e">
        <f>G12/K19</f>
        <v>#DIV/0!</v>
      </c>
    </row>
    <row r="13" spans="1:9" ht="15.75" thickBot="1" x14ac:dyDescent="0.3">
      <c r="A13" s="2" t="s">
        <v>10</v>
      </c>
      <c r="B13" s="6">
        <v>0</v>
      </c>
      <c r="C13" s="12"/>
      <c r="D13" s="6">
        <v>0</v>
      </c>
      <c r="E13" s="8" t="s">
        <v>8</v>
      </c>
      <c r="F13" s="8" t="s">
        <v>8</v>
      </c>
      <c r="G13" s="90"/>
      <c r="H13" s="91"/>
    </row>
    <row r="14" spans="1:9" ht="60.75" thickBot="1" x14ac:dyDescent="0.3">
      <c r="A14" s="2" t="s">
        <v>11</v>
      </c>
      <c r="B14" s="6">
        <f>G14*76%</f>
        <v>6391.6</v>
      </c>
      <c r="C14" s="12"/>
      <c r="D14" s="84">
        <f>G14-B14</f>
        <v>2018.3999999999996</v>
      </c>
      <c r="E14" s="8" t="s">
        <v>8</v>
      </c>
      <c r="F14" s="8" t="s">
        <v>8</v>
      </c>
      <c r="G14" s="90">
        <f>8485-75</f>
        <v>8410</v>
      </c>
      <c r="H14" s="91"/>
      <c r="I14" t="e">
        <f>G14/K19</f>
        <v>#DIV/0!</v>
      </c>
    </row>
    <row r="15" spans="1:9" ht="30.75" thickBot="1" x14ac:dyDescent="0.3">
      <c r="A15" s="2" t="s">
        <v>12</v>
      </c>
      <c r="B15" s="6">
        <f>G15*76%</f>
        <v>188.48</v>
      </c>
      <c r="C15" s="12"/>
      <c r="D15" s="84">
        <f>G15-B15</f>
        <v>59.52000000000001</v>
      </c>
      <c r="E15" s="8" t="s">
        <v>8</v>
      </c>
      <c r="F15" s="8" t="s">
        <v>8</v>
      </c>
      <c r="G15" s="90">
        <f>173+75</f>
        <v>248</v>
      </c>
      <c r="H15" s="91"/>
      <c r="I15" t="e">
        <f>G15/K19</f>
        <v>#DIV/0!</v>
      </c>
    </row>
    <row r="16" spans="1:9" ht="15.75" thickBot="1" x14ac:dyDescent="0.3">
      <c r="A16" s="2" t="s">
        <v>13</v>
      </c>
      <c r="B16" s="6">
        <f>G16*56%</f>
        <v>0</v>
      </c>
      <c r="C16" s="6"/>
      <c r="D16" s="84">
        <f>G16-B16</f>
        <v>0</v>
      </c>
      <c r="E16" s="8" t="s">
        <v>8</v>
      </c>
      <c r="F16" s="8" t="s">
        <v>8</v>
      </c>
      <c r="G16" s="90">
        <v>0</v>
      </c>
      <c r="H16" s="91"/>
    </row>
    <row r="17" spans="1:11" ht="30.75" thickBot="1" x14ac:dyDescent="0.3">
      <c r="A17" s="2" t="s">
        <v>14</v>
      </c>
      <c r="B17" s="6">
        <f>G17*56%</f>
        <v>916.72000000000014</v>
      </c>
      <c r="C17" s="6"/>
      <c r="D17" s="84">
        <f>G17-B17</f>
        <v>720.27999999999986</v>
      </c>
      <c r="E17" s="8" t="s">
        <v>8</v>
      </c>
      <c r="F17" s="8" t="s">
        <v>8</v>
      </c>
      <c r="G17" s="90">
        <v>1637</v>
      </c>
      <c r="H17" s="91"/>
    </row>
    <row r="18" spans="1:11" ht="45.75" thickBot="1" x14ac:dyDescent="0.3">
      <c r="A18" s="2" t="s">
        <v>15</v>
      </c>
      <c r="B18" s="8" t="s">
        <v>8</v>
      </c>
      <c r="C18" s="8" t="s">
        <v>8</v>
      </c>
      <c r="D18" s="6"/>
      <c r="E18" s="8" t="s">
        <v>8</v>
      </c>
      <c r="F18" s="8" t="s">
        <v>8</v>
      </c>
      <c r="G18" s="90"/>
      <c r="H18" s="91"/>
    </row>
    <row r="19" spans="1:11" ht="15.75" thickBot="1" x14ac:dyDescent="0.3">
      <c r="A19" s="2" t="s">
        <v>16</v>
      </c>
      <c r="B19" s="8" t="s">
        <v>8</v>
      </c>
      <c r="C19" s="8" t="s">
        <v>8</v>
      </c>
      <c r="D19" s="12"/>
      <c r="E19" s="6">
        <v>0</v>
      </c>
      <c r="F19" s="6"/>
      <c r="G19" s="90">
        <v>5000</v>
      </c>
      <c r="H19" s="91"/>
      <c r="I19" s="10"/>
      <c r="K19" s="10"/>
    </row>
    <row r="20" spans="1:11" ht="15.75" thickBot="1" x14ac:dyDescent="0.3">
      <c r="A20" s="3" t="s">
        <v>17</v>
      </c>
      <c r="B20" s="6">
        <f>G20*56%</f>
        <v>0</v>
      </c>
      <c r="C20" s="8"/>
      <c r="D20" s="6"/>
      <c r="E20" s="6">
        <f>G20-B20</f>
        <v>0</v>
      </c>
      <c r="F20" s="6"/>
      <c r="G20" s="90">
        <v>0</v>
      </c>
      <c r="H20" s="91"/>
    </row>
    <row r="21" spans="1:11" ht="15.75" thickBot="1" x14ac:dyDescent="0.3">
      <c r="A21" s="3" t="s">
        <v>18</v>
      </c>
      <c r="B21" s="6"/>
      <c r="C21" s="8"/>
      <c r="D21" s="8"/>
      <c r="E21" s="6"/>
      <c r="F21" s="6"/>
      <c r="G21" s="90"/>
      <c r="H21" s="91"/>
      <c r="I21" s="10"/>
    </row>
    <row r="22" spans="1:11" ht="45.75" thickBot="1" x14ac:dyDescent="0.3">
      <c r="A22" s="2" t="s">
        <v>19</v>
      </c>
      <c r="B22" s="6"/>
      <c r="C22" s="8"/>
      <c r="D22" s="6"/>
      <c r="E22" s="6"/>
      <c r="F22" s="6"/>
      <c r="G22" s="94"/>
      <c r="H22" s="95"/>
    </row>
    <row r="23" spans="1:11" ht="45.75" thickBot="1" x14ac:dyDescent="0.3">
      <c r="A23" s="2" t="s">
        <v>20</v>
      </c>
      <c r="B23" s="6">
        <f>G23*56%</f>
        <v>404.32000000000005</v>
      </c>
      <c r="C23" s="8"/>
      <c r="D23" s="6"/>
      <c r="E23" s="6">
        <f>G23-B23</f>
        <v>317.67999999999995</v>
      </c>
      <c r="F23" s="6"/>
      <c r="G23" s="90">
        <v>722</v>
      </c>
      <c r="H23" s="91"/>
    </row>
    <row r="24" spans="1:11" ht="30.75" thickBot="1" x14ac:dyDescent="0.3">
      <c r="A24" s="2" t="s">
        <v>21</v>
      </c>
      <c r="B24" s="6">
        <f>G24*56%</f>
        <v>369.04</v>
      </c>
      <c r="C24" s="6"/>
      <c r="D24" s="84">
        <f>G24-B24</f>
        <v>289.95999999999998</v>
      </c>
      <c r="E24" s="8" t="s">
        <v>8</v>
      </c>
      <c r="F24" s="8" t="s">
        <v>8</v>
      </c>
      <c r="G24" s="90">
        <v>659</v>
      </c>
      <c r="H24" s="91"/>
    </row>
    <row r="25" spans="1:11" ht="15.75" thickBot="1" x14ac:dyDescent="0.3">
      <c r="A25" s="3" t="s">
        <v>22</v>
      </c>
      <c r="B25" s="6">
        <f>G25*56%</f>
        <v>290.64000000000004</v>
      </c>
      <c r="C25" s="6"/>
      <c r="D25" s="84">
        <f>G25-B25</f>
        <v>228.35999999999996</v>
      </c>
      <c r="E25" s="8" t="s">
        <v>8</v>
      </c>
      <c r="F25" s="8" t="s">
        <v>8</v>
      </c>
      <c r="G25" s="90">
        <f>459+60</f>
        <v>519</v>
      </c>
      <c r="H25" s="91"/>
    </row>
    <row r="26" spans="1:11" ht="15.75" thickBot="1" x14ac:dyDescent="0.3">
      <c r="A26" s="3" t="s">
        <v>23</v>
      </c>
      <c r="B26" s="8" t="s">
        <v>8</v>
      </c>
      <c r="C26" s="12"/>
      <c r="D26" s="8" t="s">
        <v>8</v>
      </c>
      <c r="E26" s="8" t="s">
        <v>8</v>
      </c>
      <c r="F26" s="8" t="s">
        <v>8</v>
      </c>
      <c r="G26" s="94"/>
      <c r="H26" s="95"/>
    </row>
    <row r="27" spans="1:11" ht="15.75" thickBot="1" x14ac:dyDescent="0.3">
      <c r="A27" s="3" t="s">
        <v>24</v>
      </c>
      <c r="B27" s="6">
        <f>G27*56%</f>
        <v>0</v>
      </c>
      <c r="C27" s="6"/>
      <c r="D27" s="6"/>
      <c r="E27" s="8" t="s">
        <v>8</v>
      </c>
      <c r="F27" s="8" t="s">
        <v>8</v>
      </c>
      <c r="G27" s="90"/>
      <c r="H27" s="91"/>
    </row>
    <row r="28" spans="1:11" ht="15.75" thickBot="1" x14ac:dyDescent="0.3">
      <c r="A28" s="4" t="s">
        <v>25</v>
      </c>
      <c r="B28" s="6">
        <f>SUM(B12:B27)</f>
        <v>30438.920000000002</v>
      </c>
      <c r="C28" s="6"/>
      <c r="D28" s="6">
        <f>SUM(D12:D27)</f>
        <v>10225.400000000001</v>
      </c>
      <c r="E28" s="6">
        <f>SUM(E12:E27)</f>
        <v>317.67999999999995</v>
      </c>
      <c r="F28" s="6"/>
      <c r="G28" s="90">
        <f>SUM(G12:H27)</f>
        <v>45982</v>
      </c>
      <c r="H28" s="91"/>
    </row>
    <row r="29" spans="1:11" x14ac:dyDescent="0.25">
      <c r="A29" s="92" t="s">
        <v>26</v>
      </c>
      <c r="B29" s="92"/>
      <c r="C29" s="92"/>
      <c r="D29" s="92"/>
      <c r="E29" s="92"/>
      <c r="F29" s="92"/>
      <c r="G29" s="92"/>
      <c r="H29" s="92"/>
      <c r="K29" s="10"/>
    </row>
    <row r="30" spans="1:11" x14ac:dyDescent="0.25">
      <c r="A30" s="93" t="s">
        <v>27</v>
      </c>
      <c r="B30" s="93"/>
      <c r="C30" s="93"/>
      <c r="D30" s="93"/>
      <c r="E30" s="93"/>
      <c r="F30" s="93"/>
      <c r="G30" s="93"/>
      <c r="H30" s="93"/>
    </row>
    <row r="31" spans="1:11" x14ac:dyDescent="0.25">
      <c r="A31" s="93" t="s">
        <v>28</v>
      </c>
      <c r="B31" s="93"/>
      <c r="C31" s="93"/>
      <c r="D31" s="93"/>
      <c r="E31" s="93"/>
      <c r="F31" s="93"/>
      <c r="G31" s="93"/>
      <c r="H31" s="93"/>
    </row>
    <row r="32" spans="1:11" x14ac:dyDescent="0.25">
      <c r="A32" s="1"/>
      <c r="B32" s="9"/>
      <c r="C32" s="9"/>
      <c r="D32" s="9"/>
      <c r="E32" s="9"/>
      <c r="F32" s="9"/>
      <c r="G32" s="9"/>
      <c r="H32" s="9"/>
    </row>
    <row r="33" spans="1:8" ht="15.75" x14ac:dyDescent="0.25">
      <c r="A33" s="5"/>
      <c r="B33" s="13" t="s">
        <v>240</v>
      </c>
      <c r="C33" s="13">
        <v>18600</v>
      </c>
    </row>
    <row r="34" spans="1:8" x14ac:dyDescent="0.25">
      <c r="B34" s="10">
        <f>C33-B28</f>
        <v>-11838.920000000002</v>
      </c>
      <c r="C34"/>
      <c r="D34"/>
      <c r="E34"/>
      <c r="F34"/>
      <c r="G34"/>
      <c r="H34"/>
    </row>
    <row r="41" spans="1:8" x14ac:dyDescent="0.25">
      <c r="A41" s="85"/>
      <c r="B41" s="86"/>
      <c r="C41" s="86"/>
      <c r="D41" s="86"/>
      <c r="E41" s="112" t="s">
        <v>29</v>
      </c>
      <c r="F41" s="112"/>
      <c r="G41" s="112"/>
      <c r="H41" s="112"/>
    </row>
    <row r="42" spans="1:8" x14ac:dyDescent="0.25">
      <c r="A42" s="113"/>
      <c r="B42" s="114"/>
      <c r="C42" s="114"/>
      <c r="D42" s="115"/>
      <c r="E42" s="115" t="s">
        <v>0</v>
      </c>
      <c r="F42" s="115"/>
      <c r="G42" s="115"/>
      <c r="H42" s="115"/>
    </row>
    <row r="43" spans="1:8" x14ac:dyDescent="0.25">
      <c r="A43" s="113"/>
      <c r="B43" s="114"/>
      <c r="C43" s="114"/>
      <c r="D43" s="115"/>
      <c r="E43" s="115" t="s">
        <v>1</v>
      </c>
      <c r="F43" s="115"/>
      <c r="G43" s="115"/>
      <c r="H43" s="115"/>
    </row>
    <row r="44" spans="1:8" ht="15.75" thickBot="1" x14ac:dyDescent="0.3">
      <c r="A44" s="98" t="s">
        <v>241</v>
      </c>
      <c r="B44" s="98"/>
      <c r="C44" s="98"/>
      <c r="D44" s="98"/>
      <c r="E44" s="98"/>
      <c r="F44" s="98"/>
      <c r="G44" s="99"/>
      <c r="H44" s="99"/>
    </row>
    <row r="45" spans="1:8" ht="15.75" thickBot="1" x14ac:dyDescent="0.3">
      <c r="A45" s="100" t="s">
        <v>2</v>
      </c>
      <c r="B45" s="103" t="s">
        <v>30</v>
      </c>
      <c r="C45" s="104"/>
      <c r="D45" s="104"/>
      <c r="E45" s="104"/>
      <c r="F45" s="104"/>
      <c r="G45" s="105" t="s">
        <v>3</v>
      </c>
      <c r="H45" s="106"/>
    </row>
    <row r="46" spans="1:8" ht="105.75" thickBot="1" x14ac:dyDescent="0.3">
      <c r="A46" s="101"/>
      <c r="B46" s="96" t="s">
        <v>30</v>
      </c>
      <c r="C46" s="107"/>
      <c r="D46" s="83" t="s">
        <v>32</v>
      </c>
      <c r="E46" s="107" t="s">
        <v>4</v>
      </c>
      <c r="F46" s="97"/>
      <c r="G46" s="108"/>
      <c r="H46" s="109"/>
    </row>
    <row r="47" spans="1:8" ht="150.75" thickBot="1" x14ac:dyDescent="0.3">
      <c r="A47" s="102"/>
      <c r="B47" s="89" t="s">
        <v>36</v>
      </c>
      <c r="C47" s="89" t="s">
        <v>5</v>
      </c>
      <c r="D47" s="89" t="s">
        <v>33</v>
      </c>
      <c r="E47" s="89" t="s">
        <v>34</v>
      </c>
      <c r="F47" s="89" t="s">
        <v>35</v>
      </c>
      <c r="G47" s="110"/>
      <c r="H47" s="111"/>
    </row>
    <row r="48" spans="1:8" ht="15.75" thickBot="1" x14ac:dyDescent="0.3">
      <c r="A48" s="82">
        <v>1</v>
      </c>
      <c r="B48" s="89">
        <v>2</v>
      </c>
      <c r="C48" s="11">
        <v>3</v>
      </c>
      <c r="D48" s="89">
        <v>4</v>
      </c>
      <c r="E48" s="11">
        <v>5</v>
      </c>
      <c r="F48" s="89">
        <v>6</v>
      </c>
      <c r="G48" s="96" t="s">
        <v>37</v>
      </c>
      <c r="H48" s="97"/>
    </row>
    <row r="49" spans="1:10" ht="60.75" thickBot="1" x14ac:dyDescent="0.3">
      <c r="A49" s="2" t="s">
        <v>7</v>
      </c>
      <c r="B49" s="6">
        <f>B50</f>
        <v>41834.959999999999</v>
      </c>
      <c r="C49" s="12"/>
      <c r="D49" s="6">
        <f>D50</f>
        <v>13211.04</v>
      </c>
      <c r="E49" s="8" t="s">
        <v>8</v>
      </c>
      <c r="F49" s="8" t="s">
        <v>8</v>
      </c>
      <c r="G49" s="90">
        <f>55375-329</f>
        <v>55046</v>
      </c>
      <c r="H49" s="91"/>
    </row>
    <row r="50" spans="1:10" ht="15.75" thickBot="1" x14ac:dyDescent="0.3">
      <c r="A50" s="3" t="s">
        <v>9</v>
      </c>
      <c r="B50" s="6">
        <f>G50*76%</f>
        <v>41834.959999999999</v>
      </c>
      <c r="C50" s="12"/>
      <c r="D50" s="84">
        <f>G50-B50</f>
        <v>13211.04</v>
      </c>
      <c r="E50" s="8" t="s">
        <v>8</v>
      </c>
      <c r="F50" s="8" t="s">
        <v>8</v>
      </c>
      <c r="G50" s="90">
        <f>G49-G51</f>
        <v>55046</v>
      </c>
      <c r="H50" s="91"/>
    </row>
    <row r="51" spans="1:10" ht="15.75" thickBot="1" x14ac:dyDescent="0.3">
      <c r="A51" s="2" t="s">
        <v>10</v>
      </c>
      <c r="B51" s="6">
        <v>0</v>
      </c>
      <c r="C51" s="12"/>
      <c r="D51" s="6">
        <v>0</v>
      </c>
      <c r="E51" s="8" t="s">
        <v>8</v>
      </c>
      <c r="F51" s="8" t="s">
        <v>8</v>
      </c>
      <c r="G51" s="90"/>
      <c r="H51" s="91"/>
    </row>
    <row r="52" spans="1:10" ht="60.75" thickBot="1" x14ac:dyDescent="0.3">
      <c r="A52" s="2" t="s">
        <v>11</v>
      </c>
      <c r="B52" s="6">
        <f>G52*76%</f>
        <v>12763.44</v>
      </c>
      <c r="C52" s="12"/>
      <c r="D52" s="84">
        <f>G52-B52</f>
        <v>4030.5599999999995</v>
      </c>
      <c r="E52" s="8" t="s">
        <v>8</v>
      </c>
      <c r="F52" s="8" t="s">
        <v>8</v>
      </c>
      <c r="G52" s="90">
        <f>16944-150</f>
        <v>16794</v>
      </c>
      <c r="H52" s="91"/>
    </row>
    <row r="53" spans="1:10" ht="30.75" thickBot="1" x14ac:dyDescent="0.3">
      <c r="A53" s="2" t="s">
        <v>12</v>
      </c>
      <c r="B53" s="6">
        <f>G53*76%</f>
        <v>364.04</v>
      </c>
      <c r="C53" s="12"/>
      <c r="D53" s="84">
        <f>G53-B53</f>
        <v>114.95999999999998</v>
      </c>
      <c r="E53" s="8" t="s">
        <v>8</v>
      </c>
      <c r="F53" s="8" t="s">
        <v>8</v>
      </c>
      <c r="G53" s="90">
        <f>150+329</f>
        <v>479</v>
      </c>
      <c r="H53" s="91"/>
      <c r="I53" s="10"/>
      <c r="J53" s="10"/>
    </row>
    <row r="54" spans="1:10" ht="15.75" thickBot="1" x14ac:dyDescent="0.3">
      <c r="A54" s="2" t="s">
        <v>13</v>
      </c>
      <c r="B54" s="6">
        <f>G54*56%</f>
        <v>0</v>
      </c>
      <c r="C54" s="6"/>
      <c r="D54" s="84">
        <f>G54-B54</f>
        <v>0</v>
      </c>
      <c r="E54" s="8" t="s">
        <v>8</v>
      </c>
      <c r="F54" s="8" t="s">
        <v>8</v>
      </c>
      <c r="G54" s="90">
        <v>0</v>
      </c>
      <c r="H54" s="91"/>
      <c r="I54" s="10"/>
    </row>
    <row r="55" spans="1:10" ht="30.75" thickBot="1" x14ac:dyDescent="0.3">
      <c r="A55" s="2" t="s">
        <v>14</v>
      </c>
      <c r="B55" s="6">
        <f>G55*56%</f>
        <v>1844.64</v>
      </c>
      <c r="C55" s="6"/>
      <c r="D55" s="84">
        <f>G55-B55</f>
        <v>1449.36</v>
      </c>
      <c r="E55" s="8" t="s">
        <v>8</v>
      </c>
      <c r="F55" s="8" t="s">
        <v>8</v>
      </c>
      <c r="G55" s="90">
        <v>3294</v>
      </c>
      <c r="H55" s="91"/>
    </row>
    <row r="56" spans="1:10" ht="45.75" thickBot="1" x14ac:dyDescent="0.3">
      <c r="A56" s="2" t="s">
        <v>15</v>
      </c>
      <c r="B56" s="8" t="s">
        <v>8</v>
      </c>
      <c r="C56" s="8" t="s">
        <v>8</v>
      </c>
      <c r="D56" s="6"/>
      <c r="E56" s="8" t="s">
        <v>8</v>
      </c>
      <c r="F56" s="8" t="s">
        <v>8</v>
      </c>
      <c r="G56" s="90"/>
      <c r="H56" s="91"/>
    </row>
    <row r="57" spans="1:10" ht="15.75" thickBot="1" x14ac:dyDescent="0.3">
      <c r="A57" s="2" t="s">
        <v>16</v>
      </c>
      <c r="B57" s="8" t="s">
        <v>8</v>
      </c>
      <c r="C57" s="8" t="s">
        <v>8</v>
      </c>
      <c r="D57" s="12"/>
      <c r="E57" s="6">
        <v>3000</v>
      </c>
      <c r="F57" s="6"/>
      <c r="G57" s="90">
        <v>10000</v>
      </c>
      <c r="H57" s="91"/>
    </row>
    <row r="58" spans="1:10" ht="15.75" thickBot="1" x14ac:dyDescent="0.3">
      <c r="A58" s="3" t="s">
        <v>17</v>
      </c>
      <c r="B58" s="6">
        <f>G58*56%</f>
        <v>0</v>
      </c>
      <c r="C58" s="8"/>
      <c r="D58" s="6"/>
      <c r="E58" s="6">
        <f>G58-B58</f>
        <v>0</v>
      </c>
      <c r="F58" s="6"/>
      <c r="G58" s="90">
        <v>0</v>
      </c>
      <c r="H58" s="91"/>
    </row>
    <row r="59" spans="1:10" ht="15.75" thickBot="1" x14ac:dyDescent="0.3">
      <c r="A59" s="3" t="s">
        <v>18</v>
      </c>
      <c r="B59" s="6"/>
      <c r="C59" s="8"/>
      <c r="D59" s="8"/>
      <c r="E59" s="6"/>
      <c r="F59" s="6"/>
      <c r="G59" s="90"/>
      <c r="H59" s="91"/>
    </row>
    <row r="60" spans="1:10" ht="45.75" thickBot="1" x14ac:dyDescent="0.3">
      <c r="A60" s="2" t="s">
        <v>19</v>
      </c>
      <c r="B60" s="6"/>
      <c r="C60" s="8"/>
      <c r="D60" s="6"/>
      <c r="E60" s="6"/>
      <c r="F60" s="6"/>
      <c r="G60" s="94"/>
      <c r="H60" s="95"/>
    </row>
    <row r="61" spans="1:10" ht="45.75" thickBot="1" x14ac:dyDescent="0.3">
      <c r="A61" s="2" t="s">
        <v>20</v>
      </c>
      <c r="B61" s="6">
        <f>G61*56%</f>
        <v>808.6400000000001</v>
      </c>
      <c r="C61" s="8"/>
      <c r="D61" s="6"/>
      <c r="E61" s="6">
        <f>G61-B61</f>
        <v>635.3599999999999</v>
      </c>
      <c r="F61" s="6"/>
      <c r="G61" s="90">
        <v>1444</v>
      </c>
      <c r="H61" s="91"/>
    </row>
    <row r="62" spans="1:10" ht="30.75" thickBot="1" x14ac:dyDescent="0.3">
      <c r="A62" s="2" t="s">
        <v>21</v>
      </c>
      <c r="B62" s="6">
        <f>G62*56%</f>
        <v>1374.8000000000002</v>
      </c>
      <c r="C62" s="6"/>
      <c r="D62" s="84">
        <f>G62-B62</f>
        <v>1080.1999999999998</v>
      </c>
      <c r="E62" s="8" t="s">
        <v>8</v>
      </c>
      <c r="F62" s="8" t="s">
        <v>8</v>
      </c>
      <c r="G62" s="90">
        <f>12455-G57</f>
        <v>2455</v>
      </c>
      <c r="H62" s="91"/>
    </row>
    <row r="63" spans="1:10" ht="15.75" thickBot="1" x14ac:dyDescent="0.3">
      <c r="A63" s="3" t="s">
        <v>22</v>
      </c>
      <c r="B63" s="6">
        <f>G63*56%</f>
        <v>352.8</v>
      </c>
      <c r="C63" s="6"/>
      <c r="D63" s="84">
        <f>G63-B63</f>
        <v>277.2</v>
      </c>
      <c r="E63" s="8" t="s">
        <v>8</v>
      </c>
      <c r="F63" s="8" t="s">
        <v>8</v>
      </c>
      <c r="G63" s="90">
        <f>101+529</f>
        <v>630</v>
      </c>
      <c r="H63" s="91"/>
    </row>
    <row r="64" spans="1:10" ht="15.75" thickBot="1" x14ac:dyDescent="0.3">
      <c r="A64" s="3" t="s">
        <v>23</v>
      </c>
      <c r="B64" s="8" t="s">
        <v>8</v>
      </c>
      <c r="C64" s="12"/>
      <c r="D64" s="8" t="s">
        <v>8</v>
      </c>
      <c r="E64" s="8" t="s">
        <v>8</v>
      </c>
      <c r="F64" s="8" t="s">
        <v>8</v>
      </c>
      <c r="G64" s="94"/>
      <c r="H64" s="95"/>
    </row>
    <row r="65" spans="1:10" ht="15.75" thickBot="1" x14ac:dyDescent="0.3">
      <c r="A65" s="3" t="s">
        <v>24</v>
      </c>
      <c r="B65" s="6">
        <f>G65*56%</f>
        <v>0</v>
      </c>
      <c r="C65" s="6"/>
      <c r="D65" s="6"/>
      <c r="E65" s="8" t="s">
        <v>8</v>
      </c>
      <c r="F65" s="8" t="s">
        <v>8</v>
      </c>
      <c r="G65" s="90"/>
      <c r="H65" s="91"/>
    </row>
    <row r="66" spans="1:10" ht="15.75" thickBot="1" x14ac:dyDescent="0.3">
      <c r="A66" s="4" t="s">
        <v>25</v>
      </c>
      <c r="B66" s="6">
        <f>SUM(B50:B65)</f>
        <v>59343.320000000007</v>
      </c>
      <c r="C66" s="6"/>
      <c r="D66" s="6">
        <f>SUM(D50:D65)</f>
        <v>20163.32</v>
      </c>
      <c r="E66" s="6">
        <f>SUM(E50:E65)</f>
        <v>3635.3599999999997</v>
      </c>
      <c r="F66" s="6"/>
      <c r="G66" s="90">
        <f>SUM(G50:H65)</f>
        <v>90142</v>
      </c>
      <c r="H66" s="91"/>
    </row>
    <row r="67" spans="1:10" x14ac:dyDescent="0.25">
      <c r="A67" s="92" t="s">
        <v>26</v>
      </c>
      <c r="B67" s="92"/>
      <c r="C67" s="92"/>
      <c r="D67" s="92"/>
      <c r="E67" s="92"/>
      <c r="F67" s="92"/>
      <c r="G67" s="92"/>
      <c r="H67" s="92"/>
    </row>
    <row r="68" spans="1:10" x14ac:dyDescent="0.25">
      <c r="A68" s="93" t="s">
        <v>27</v>
      </c>
      <c r="B68" s="93"/>
      <c r="C68" s="93"/>
      <c r="D68" s="93"/>
      <c r="E68" s="93"/>
      <c r="F68" s="93"/>
      <c r="G68" s="93"/>
      <c r="H68" s="93"/>
    </row>
    <row r="69" spans="1:10" x14ac:dyDescent="0.25">
      <c r="A69" s="93" t="s">
        <v>28</v>
      </c>
      <c r="B69" s="93"/>
      <c r="C69" s="93"/>
      <c r="D69" s="93"/>
      <c r="E69" s="93"/>
      <c r="F69" s="93"/>
      <c r="G69" s="93"/>
      <c r="H69" s="93"/>
      <c r="J69" s="10"/>
    </row>
    <row r="70" spans="1:10" x14ac:dyDescent="0.25">
      <c r="A70" s="1"/>
      <c r="B70" s="9"/>
      <c r="C70" s="9"/>
      <c r="D70" s="9"/>
      <c r="E70" s="9"/>
      <c r="F70" s="9"/>
      <c r="G70" s="9"/>
      <c r="H70" s="9"/>
    </row>
    <row r="71" spans="1:10" ht="15.75" x14ac:dyDescent="0.25">
      <c r="A71" s="5"/>
      <c r="B71" s="13" t="s">
        <v>242</v>
      </c>
      <c r="C71" s="13">
        <v>49000</v>
      </c>
    </row>
    <row r="73" spans="1:10" x14ac:dyDescent="0.25">
      <c r="B73" s="10">
        <f>C71-B66</f>
        <v>-10343.320000000007</v>
      </c>
      <c r="C73"/>
      <c r="D73"/>
      <c r="E73"/>
      <c r="F73"/>
      <c r="G73"/>
      <c r="H73"/>
    </row>
    <row r="77" spans="1:10" x14ac:dyDescent="0.25">
      <c r="A77" s="85"/>
      <c r="B77" s="86"/>
      <c r="C77" s="86"/>
      <c r="D77" s="86"/>
      <c r="E77" s="112" t="s">
        <v>29</v>
      </c>
      <c r="F77" s="112"/>
      <c r="G77" s="112"/>
      <c r="H77" s="112"/>
    </row>
    <row r="78" spans="1:10" x14ac:dyDescent="0.25">
      <c r="A78" s="113"/>
      <c r="B78" s="114"/>
      <c r="C78" s="114"/>
      <c r="D78" s="115"/>
      <c r="E78" s="115" t="s">
        <v>0</v>
      </c>
      <c r="F78" s="115"/>
      <c r="G78" s="115"/>
      <c r="H78" s="115"/>
    </row>
    <row r="79" spans="1:10" x14ac:dyDescent="0.25">
      <c r="A79" s="113"/>
      <c r="B79" s="114"/>
      <c r="C79" s="114"/>
      <c r="D79" s="115"/>
      <c r="E79" s="115" t="s">
        <v>1</v>
      </c>
      <c r="F79" s="115"/>
      <c r="G79" s="115"/>
      <c r="H79" s="115"/>
    </row>
    <row r="80" spans="1:10" ht="15.75" thickBot="1" x14ac:dyDescent="0.3">
      <c r="A80" s="98" t="s">
        <v>243</v>
      </c>
      <c r="B80" s="98"/>
      <c r="C80" s="98"/>
      <c r="D80" s="98"/>
      <c r="E80" s="98"/>
      <c r="F80" s="98"/>
      <c r="G80" s="99"/>
      <c r="H80" s="99"/>
    </row>
    <row r="81" spans="1:9" ht="15.75" thickBot="1" x14ac:dyDescent="0.3">
      <c r="A81" s="100" t="s">
        <v>2</v>
      </c>
      <c r="B81" s="103" t="s">
        <v>30</v>
      </c>
      <c r="C81" s="104"/>
      <c r="D81" s="104"/>
      <c r="E81" s="104"/>
      <c r="F81" s="104"/>
      <c r="G81" s="105" t="s">
        <v>3</v>
      </c>
      <c r="H81" s="106"/>
    </row>
    <row r="82" spans="1:9" ht="105.75" thickBot="1" x14ac:dyDescent="0.3">
      <c r="A82" s="101"/>
      <c r="B82" s="96" t="s">
        <v>30</v>
      </c>
      <c r="C82" s="107"/>
      <c r="D82" s="83" t="s">
        <v>32</v>
      </c>
      <c r="E82" s="107" t="s">
        <v>4</v>
      </c>
      <c r="F82" s="97"/>
      <c r="G82" s="108"/>
      <c r="H82" s="109"/>
    </row>
    <row r="83" spans="1:9" ht="150.75" thickBot="1" x14ac:dyDescent="0.3">
      <c r="A83" s="102"/>
      <c r="B83" s="89" t="s">
        <v>36</v>
      </c>
      <c r="C83" s="89" t="s">
        <v>5</v>
      </c>
      <c r="D83" s="89" t="s">
        <v>33</v>
      </c>
      <c r="E83" s="89" t="s">
        <v>34</v>
      </c>
      <c r="F83" s="89" t="s">
        <v>35</v>
      </c>
      <c r="G83" s="110"/>
      <c r="H83" s="111"/>
    </row>
    <row r="84" spans="1:9" ht="15.75" thickBot="1" x14ac:dyDescent="0.3">
      <c r="A84" s="82">
        <v>1</v>
      </c>
      <c r="B84" s="89">
        <v>2</v>
      </c>
      <c r="C84" s="11">
        <v>3</v>
      </c>
      <c r="D84" s="89">
        <v>4</v>
      </c>
      <c r="E84" s="11">
        <v>5</v>
      </c>
      <c r="F84" s="89">
        <v>6</v>
      </c>
      <c r="G84" s="96" t="s">
        <v>37</v>
      </c>
      <c r="H84" s="97"/>
    </row>
    <row r="85" spans="1:9" ht="60.75" thickBot="1" x14ac:dyDescent="0.3">
      <c r="A85" s="2" t="s">
        <v>7</v>
      </c>
      <c r="B85" s="6">
        <f>B86</f>
        <v>61640.56</v>
      </c>
      <c r="C85" s="12"/>
      <c r="D85" s="6">
        <f>D86</f>
        <v>19465.440000000002</v>
      </c>
      <c r="E85" s="8" t="s">
        <v>8</v>
      </c>
      <c r="F85" s="8" t="s">
        <v>8</v>
      </c>
      <c r="G85" s="90">
        <f>81615-509</f>
        <v>81106</v>
      </c>
      <c r="H85" s="91"/>
    </row>
    <row r="86" spans="1:9" ht="15.75" thickBot="1" x14ac:dyDescent="0.3">
      <c r="A86" s="3" t="s">
        <v>9</v>
      </c>
      <c r="B86" s="6">
        <f>G86*76%</f>
        <v>61640.56</v>
      </c>
      <c r="C86" s="12"/>
      <c r="D86" s="84">
        <f>G86-B86</f>
        <v>19465.440000000002</v>
      </c>
      <c r="E86" s="8" t="s">
        <v>8</v>
      </c>
      <c r="F86" s="8" t="s">
        <v>8</v>
      </c>
      <c r="G86" s="90">
        <f>G85</f>
        <v>81106</v>
      </c>
      <c r="H86" s="91"/>
    </row>
    <row r="87" spans="1:9" ht="15.75" thickBot="1" x14ac:dyDescent="0.3">
      <c r="A87" s="2" t="s">
        <v>10</v>
      </c>
      <c r="B87" s="6">
        <v>0</v>
      </c>
      <c r="C87" s="12"/>
      <c r="D87" s="6">
        <v>0</v>
      </c>
      <c r="E87" s="8" t="s">
        <v>8</v>
      </c>
      <c r="F87" s="8" t="s">
        <v>8</v>
      </c>
      <c r="G87" s="90"/>
      <c r="H87" s="91"/>
    </row>
    <row r="88" spans="1:9" ht="60.75" thickBot="1" x14ac:dyDescent="0.3">
      <c r="A88" s="2" t="s">
        <v>11</v>
      </c>
      <c r="B88" s="6">
        <f>G88*76%</f>
        <v>19008.36</v>
      </c>
      <c r="C88" s="12"/>
      <c r="D88" s="84">
        <f>G88-B88</f>
        <v>6002.6399999999994</v>
      </c>
      <c r="E88" s="8" t="s">
        <v>8</v>
      </c>
      <c r="F88" s="8" t="s">
        <v>8</v>
      </c>
      <c r="G88" s="90">
        <f>25267-256</f>
        <v>25011</v>
      </c>
      <c r="H88" s="91"/>
    </row>
    <row r="89" spans="1:9" ht="30.75" thickBot="1" x14ac:dyDescent="0.3">
      <c r="A89" s="2" t="s">
        <v>12</v>
      </c>
      <c r="B89" s="6">
        <f>G89*76%</f>
        <v>581.4</v>
      </c>
      <c r="C89" s="12"/>
      <c r="D89" s="84">
        <f>G89-B89</f>
        <v>183.60000000000002</v>
      </c>
      <c r="E89" s="8" t="s">
        <v>8</v>
      </c>
      <c r="F89" s="8" t="s">
        <v>8</v>
      </c>
      <c r="G89" s="90">
        <f>509+256</f>
        <v>765</v>
      </c>
      <c r="H89" s="91"/>
      <c r="I89" s="10"/>
    </row>
    <row r="90" spans="1:9" ht="15.75" thickBot="1" x14ac:dyDescent="0.3">
      <c r="A90" s="2" t="s">
        <v>13</v>
      </c>
      <c r="B90" s="6">
        <f>G90*56%</f>
        <v>0</v>
      </c>
      <c r="C90" s="6"/>
      <c r="D90" s="84">
        <f>G90-B90</f>
        <v>0</v>
      </c>
      <c r="E90" s="8" t="s">
        <v>8</v>
      </c>
      <c r="F90" s="8" t="s">
        <v>8</v>
      </c>
      <c r="G90" s="90">
        <v>0</v>
      </c>
      <c r="H90" s="91"/>
    </row>
    <row r="91" spans="1:9" ht="30.75" thickBot="1" x14ac:dyDescent="0.3">
      <c r="A91" s="2" t="s">
        <v>14</v>
      </c>
      <c r="B91" s="6">
        <f>G91*56%</f>
        <v>2478.5600000000004</v>
      </c>
      <c r="C91" s="6"/>
      <c r="D91" s="84">
        <f>G91-B91</f>
        <v>1947.4399999999996</v>
      </c>
      <c r="E91" s="8" t="s">
        <v>8</v>
      </c>
      <c r="F91" s="8" t="s">
        <v>8</v>
      </c>
      <c r="G91" s="90">
        <v>4426</v>
      </c>
      <c r="H91" s="91"/>
    </row>
    <row r="92" spans="1:9" ht="45.75" thickBot="1" x14ac:dyDescent="0.3">
      <c r="A92" s="2" t="s">
        <v>15</v>
      </c>
      <c r="B92" s="8" t="s">
        <v>8</v>
      </c>
      <c r="C92" s="8" t="s">
        <v>8</v>
      </c>
      <c r="D92" s="6"/>
      <c r="E92" s="8" t="s">
        <v>8</v>
      </c>
      <c r="F92" s="8" t="s">
        <v>8</v>
      </c>
      <c r="G92" s="90"/>
      <c r="H92" s="91"/>
    </row>
    <row r="93" spans="1:9" ht="15.75" thickBot="1" x14ac:dyDescent="0.3">
      <c r="A93" s="2" t="s">
        <v>16</v>
      </c>
      <c r="B93" s="8" t="s">
        <v>8</v>
      </c>
      <c r="C93" s="8" t="s">
        <v>8</v>
      </c>
      <c r="D93" s="12"/>
      <c r="E93" s="6">
        <v>4500</v>
      </c>
      <c r="F93" s="6"/>
      <c r="G93" s="90">
        <v>15000</v>
      </c>
      <c r="H93" s="91"/>
    </row>
    <row r="94" spans="1:9" ht="15.75" thickBot="1" x14ac:dyDescent="0.3">
      <c r="A94" s="3" t="s">
        <v>17</v>
      </c>
      <c r="B94" s="6">
        <f>G94*56%</f>
        <v>0</v>
      </c>
      <c r="C94" s="8"/>
      <c r="D94" s="6"/>
      <c r="E94" s="6">
        <f>G94-B94</f>
        <v>0</v>
      </c>
      <c r="F94" s="6"/>
      <c r="G94" s="90">
        <v>0</v>
      </c>
      <c r="H94" s="91"/>
    </row>
    <row r="95" spans="1:9" ht="15.75" thickBot="1" x14ac:dyDescent="0.3">
      <c r="A95" s="3" t="s">
        <v>18</v>
      </c>
      <c r="B95" s="6"/>
      <c r="C95" s="8"/>
      <c r="D95" s="8"/>
      <c r="E95" s="6"/>
      <c r="F95" s="6"/>
      <c r="G95" s="90"/>
      <c r="H95" s="91"/>
    </row>
    <row r="96" spans="1:9" ht="45.75" thickBot="1" x14ac:dyDescent="0.3">
      <c r="A96" s="2" t="s">
        <v>19</v>
      </c>
      <c r="B96" s="6"/>
      <c r="C96" s="8"/>
      <c r="D96" s="6"/>
      <c r="E96" s="6"/>
      <c r="F96" s="6"/>
      <c r="G96" s="94">
        <v>0</v>
      </c>
      <c r="H96" s="95"/>
    </row>
    <row r="97" spans="1:10" ht="45.75" thickBot="1" x14ac:dyDescent="0.3">
      <c r="A97" s="2" t="s">
        <v>20</v>
      </c>
      <c r="B97" s="6">
        <f>G97*56%</f>
        <v>1212.96</v>
      </c>
      <c r="C97" s="8"/>
      <c r="D97" s="6"/>
      <c r="E97" s="6">
        <f>G97-B97</f>
        <v>953.04</v>
      </c>
      <c r="F97" s="6"/>
      <c r="G97" s="90">
        <v>2166</v>
      </c>
      <c r="H97" s="91"/>
    </row>
    <row r="98" spans="1:10" ht="30.75" thickBot="1" x14ac:dyDescent="0.3">
      <c r="A98" s="2" t="s">
        <v>21</v>
      </c>
      <c r="B98" s="6">
        <f>G98*56%</f>
        <v>4348.96</v>
      </c>
      <c r="C98" s="6"/>
      <c r="D98" s="84">
        <f>G98-B98</f>
        <v>3417.04</v>
      </c>
      <c r="E98" s="8" t="s">
        <v>8</v>
      </c>
      <c r="F98" s="8" t="s">
        <v>8</v>
      </c>
      <c r="G98" s="90">
        <f>22766-G93</f>
        <v>7766</v>
      </c>
      <c r="H98" s="91"/>
    </row>
    <row r="99" spans="1:10" ht="15.75" thickBot="1" x14ac:dyDescent="0.3">
      <c r="A99" s="3" t="s">
        <v>22</v>
      </c>
      <c r="B99" s="6">
        <f>G99*56%</f>
        <v>374.64000000000004</v>
      </c>
      <c r="C99" s="6"/>
      <c r="D99" s="84">
        <f>G99-B99</f>
        <v>294.35999999999996</v>
      </c>
      <c r="E99" s="8" t="s">
        <v>8</v>
      </c>
      <c r="F99" s="8" t="s">
        <v>8</v>
      </c>
      <c r="G99" s="90">
        <f>529+140</f>
        <v>669</v>
      </c>
      <c r="H99" s="91"/>
    </row>
    <row r="100" spans="1:10" ht="15.75" thickBot="1" x14ac:dyDescent="0.3">
      <c r="A100" s="3" t="s">
        <v>23</v>
      </c>
      <c r="B100" s="8" t="s">
        <v>8</v>
      </c>
      <c r="C100" s="12"/>
      <c r="D100" s="8" t="s">
        <v>8</v>
      </c>
      <c r="E100" s="8" t="s">
        <v>8</v>
      </c>
      <c r="F100" s="8" t="s">
        <v>8</v>
      </c>
      <c r="G100" s="94"/>
      <c r="H100" s="95"/>
    </row>
    <row r="101" spans="1:10" ht="15.75" thickBot="1" x14ac:dyDescent="0.3">
      <c r="A101" s="3" t="s">
        <v>24</v>
      </c>
      <c r="B101" s="6">
        <f>G101*56%</f>
        <v>0</v>
      </c>
      <c r="C101" s="6"/>
      <c r="D101" s="6"/>
      <c r="E101" s="8" t="s">
        <v>8</v>
      </c>
      <c r="F101" s="8" t="s">
        <v>8</v>
      </c>
      <c r="G101" s="90"/>
      <c r="H101" s="91"/>
    </row>
    <row r="102" spans="1:10" ht="15.75" thickBot="1" x14ac:dyDescent="0.3">
      <c r="A102" s="4" t="s">
        <v>25</v>
      </c>
      <c r="B102" s="6">
        <f>SUM(B86:B101)</f>
        <v>89645.440000000002</v>
      </c>
      <c r="C102" s="6"/>
      <c r="D102" s="6">
        <f>SUM(D86:D101)</f>
        <v>31310.52</v>
      </c>
      <c r="E102" s="6">
        <f>SUM(E86:E101)</f>
        <v>5453.04</v>
      </c>
      <c r="F102" s="6"/>
      <c r="G102" s="90">
        <f>SUM(G86:H101)</f>
        <v>136909</v>
      </c>
      <c r="H102" s="91"/>
    </row>
    <row r="103" spans="1:10" x14ac:dyDescent="0.25">
      <c r="A103" s="92" t="s">
        <v>26</v>
      </c>
      <c r="B103" s="92"/>
      <c r="C103" s="92"/>
      <c r="D103" s="92"/>
      <c r="E103" s="92"/>
      <c r="F103" s="92"/>
      <c r="G103" s="92"/>
      <c r="H103" s="92"/>
    </row>
    <row r="104" spans="1:10" x14ac:dyDescent="0.25">
      <c r="A104" s="93" t="s">
        <v>27</v>
      </c>
      <c r="B104" s="93"/>
      <c r="C104" s="93"/>
      <c r="D104" s="93"/>
      <c r="E104" s="93"/>
      <c r="F104" s="93"/>
      <c r="G104" s="93"/>
      <c r="H104" s="93"/>
      <c r="J104" s="10"/>
    </row>
    <row r="105" spans="1:10" x14ac:dyDescent="0.25">
      <c r="A105" s="93" t="s">
        <v>28</v>
      </c>
      <c r="B105" s="93"/>
      <c r="C105" s="93"/>
      <c r="D105" s="93"/>
      <c r="E105" s="93"/>
      <c r="F105" s="93"/>
      <c r="G105" s="93"/>
      <c r="H105" s="93"/>
    </row>
    <row r="106" spans="1:10" x14ac:dyDescent="0.25">
      <c r="A106" s="1"/>
      <c r="B106" s="9"/>
      <c r="C106" s="9"/>
      <c r="D106" s="9"/>
      <c r="E106" s="9"/>
      <c r="F106" s="9"/>
      <c r="G106" s="9"/>
      <c r="H106" s="9"/>
    </row>
    <row r="107" spans="1:10" ht="15.75" x14ac:dyDescent="0.25">
      <c r="A107" s="5"/>
    </row>
    <row r="108" spans="1:10" x14ac:dyDescent="0.25">
      <c r="B108" s="13" t="s">
        <v>244</v>
      </c>
      <c r="C108" s="13">
        <v>79900</v>
      </c>
    </row>
    <row r="109" spans="1:10" x14ac:dyDescent="0.25">
      <c r="B109" s="10">
        <f>C108-B102</f>
        <v>-9745.4400000000023</v>
      </c>
      <c r="C109"/>
      <c r="D109"/>
      <c r="E109"/>
      <c r="F109"/>
      <c r="G109"/>
      <c r="H109"/>
    </row>
    <row r="116" spans="1:9" x14ac:dyDescent="0.25">
      <c r="A116" s="85"/>
      <c r="B116" s="86"/>
      <c r="C116" s="86"/>
      <c r="D116" s="86"/>
      <c r="E116" s="112" t="s">
        <v>29</v>
      </c>
      <c r="F116" s="112"/>
      <c r="G116" s="112"/>
      <c r="H116" s="112"/>
    </row>
    <row r="117" spans="1:9" x14ac:dyDescent="0.25">
      <c r="A117" s="113"/>
      <c r="B117" s="114"/>
      <c r="C117" s="114"/>
      <c r="D117" s="115"/>
      <c r="E117" s="115" t="s">
        <v>0</v>
      </c>
      <c r="F117" s="115"/>
      <c r="G117" s="115"/>
      <c r="H117" s="115"/>
    </row>
    <row r="118" spans="1:9" x14ac:dyDescent="0.25">
      <c r="A118" s="113"/>
      <c r="B118" s="114"/>
      <c r="C118" s="114"/>
      <c r="D118" s="115"/>
      <c r="E118" s="115" t="s">
        <v>1</v>
      </c>
      <c r="F118" s="115"/>
      <c r="G118" s="115"/>
      <c r="H118" s="115"/>
    </row>
    <row r="119" spans="1:9" ht="15.75" thickBot="1" x14ac:dyDescent="0.3">
      <c r="A119" s="98" t="s">
        <v>245</v>
      </c>
      <c r="B119" s="98"/>
      <c r="C119" s="98"/>
      <c r="D119" s="98"/>
      <c r="E119" s="98"/>
      <c r="F119" s="98"/>
      <c r="G119" s="99"/>
      <c r="H119" s="99"/>
    </row>
    <row r="120" spans="1:9" ht="15.75" thickBot="1" x14ac:dyDescent="0.3">
      <c r="A120" s="100" t="s">
        <v>2</v>
      </c>
      <c r="B120" s="103" t="s">
        <v>30</v>
      </c>
      <c r="C120" s="104"/>
      <c r="D120" s="104"/>
      <c r="E120" s="104"/>
      <c r="F120" s="104"/>
      <c r="G120" s="105" t="s">
        <v>3</v>
      </c>
      <c r="H120" s="106"/>
    </row>
    <row r="121" spans="1:9" ht="105.75" thickBot="1" x14ac:dyDescent="0.3">
      <c r="A121" s="101"/>
      <c r="B121" s="96" t="s">
        <v>30</v>
      </c>
      <c r="C121" s="107"/>
      <c r="D121" s="83" t="s">
        <v>32</v>
      </c>
      <c r="E121" s="107" t="s">
        <v>4</v>
      </c>
      <c r="F121" s="97"/>
      <c r="G121" s="108"/>
      <c r="H121" s="109"/>
    </row>
    <row r="122" spans="1:9" ht="150.75" thickBot="1" x14ac:dyDescent="0.3">
      <c r="A122" s="102"/>
      <c r="B122" s="89" t="s">
        <v>36</v>
      </c>
      <c r="C122" s="89" t="s">
        <v>5</v>
      </c>
      <c r="D122" s="89" t="s">
        <v>33</v>
      </c>
      <c r="E122" s="89" t="s">
        <v>34</v>
      </c>
      <c r="F122" s="89" t="s">
        <v>35</v>
      </c>
      <c r="G122" s="110"/>
      <c r="H122" s="111"/>
    </row>
    <row r="123" spans="1:9" ht="15.75" thickBot="1" x14ac:dyDescent="0.3">
      <c r="A123" s="82">
        <v>1</v>
      </c>
      <c r="B123" s="89">
        <v>2</v>
      </c>
      <c r="C123" s="11">
        <v>3</v>
      </c>
      <c r="D123" s="89">
        <v>4</v>
      </c>
      <c r="E123" s="11">
        <v>5</v>
      </c>
      <c r="F123" s="89">
        <v>6</v>
      </c>
      <c r="G123" s="96" t="s">
        <v>37</v>
      </c>
      <c r="H123" s="97"/>
    </row>
    <row r="124" spans="1:9" ht="60.75" thickBot="1" x14ac:dyDescent="0.3">
      <c r="A124" s="2" t="s">
        <v>7</v>
      </c>
      <c r="B124" s="6">
        <f>B125</f>
        <v>82152.960000000006</v>
      </c>
      <c r="C124" s="12"/>
      <c r="D124" s="6">
        <f>D125</f>
        <v>25943.039999999994</v>
      </c>
      <c r="E124" s="8" t="s">
        <v>8</v>
      </c>
      <c r="F124" s="8" t="s">
        <v>8</v>
      </c>
      <c r="G124" s="90">
        <f>108765-669</f>
        <v>108096</v>
      </c>
      <c r="H124" s="91"/>
    </row>
    <row r="125" spans="1:9" ht="15.75" thickBot="1" x14ac:dyDescent="0.3">
      <c r="A125" s="3" t="s">
        <v>9</v>
      </c>
      <c r="B125" s="6">
        <f>G125*76%</f>
        <v>82152.960000000006</v>
      </c>
      <c r="C125" s="12"/>
      <c r="D125" s="84">
        <f>G125-B125</f>
        <v>25943.039999999994</v>
      </c>
      <c r="E125" s="8" t="s">
        <v>8</v>
      </c>
      <c r="F125" s="8" t="s">
        <v>8</v>
      </c>
      <c r="G125" s="90">
        <f>G124-G126</f>
        <v>108096</v>
      </c>
      <c r="H125" s="91"/>
    </row>
    <row r="126" spans="1:9" ht="15.75" thickBot="1" x14ac:dyDescent="0.3">
      <c r="A126" s="2" t="s">
        <v>10</v>
      </c>
      <c r="B126" s="6">
        <v>0</v>
      </c>
      <c r="C126" s="12"/>
      <c r="D126" s="6">
        <v>0</v>
      </c>
      <c r="E126" s="8" t="s">
        <v>8</v>
      </c>
      <c r="F126" s="8" t="s">
        <v>8</v>
      </c>
      <c r="G126" s="90"/>
      <c r="H126" s="91"/>
    </row>
    <row r="127" spans="1:9" ht="60.75" thickBot="1" x14ac:dyDescent="0.3">
      <c r="A127" s="2" t="s">
        <v>11</v>
      </c>
      <c r="B127" s="6">
        <f>G127*76%</f>
        <v>25482.04</v>
      </c>
      <c r="C127" s="12"/>
      <c r="D127" s="84">
        <f>G127-B127</f>
        <v>8046.9599999999991</v>
      </c>
      <c r="E127" s="8" t="s">
        <v>8</v>
      </c>
      <c r="F127" s="8" t="s">
        <v>8</v>
      </c>
      <c r="G127" s="90">
        <f>33864-335</f>
        <v>33529</v>
      </c>
      <c r="H127" s="91"/>
    </row>
    <row r="128" spans="1:9" ht="30.75" thickBot="1" x14ac:dyDescent="0.3">
      <c r="A128" s="2" t="s">
        <v>12</v>
      </c>
      <c r="B128" s="6">
        <f>G128*76%</f>
        <v>763.04</v>
      </c>
      <c r="C128" s="12"/>
      <c r="D128" s="84">
        <f>G128-B128</f>
        <v>240.96000000000004</v>
      </c>
      <c r="E128" s="8" t="s">
        <v>8</v>
      </c>
      <c r="F128" s="8" t="s">
        <v>8</v>
      </c>
      <c r="G128" s="90">
        <f>335+669</f>
        <v>1004</v>
      </c>
      <c r="H128" s="91"/>
      <c r="I128" s="10">
        <f>G128+G127+G124</f>
        <v>142629</v>
      </c>
    </row>
    <row r="129" spans="1:10" ht="15.75" thickBot="1" x14ac:dyDescent="0.3">
      <c r="A129" s="2" t="s">
        <v>13</v>
      </c>
      <c r="B129" s="6">
        <f>G129*56%</f>
        <v>0</v>
      </c>
      <c r="C129" s="6"/>
      <c r="D129" s="84">
        <f>G129-B129</f>
        <v>0</v>
      </c>
      <c r="E129" s="8" t="s">
        <v>8</v>
      </c>
      <c r="F129" s="8" t="s">
        <v>8</v>
      </c>
      <c r="G129" s="90">
        <v>0</v>
      </c>
      <c r="H129" s="91"/>
    </row>
    <row r="130" spans="1:10" ht="30.75" thickBot="1" x14ac:dyDescent="0.3">
      <c r="A130" s="2" t="s">
        <v>14</v>
      </c>
      <c r="B130" s="6">
        <f>G130*56%</f>
        <v>3209.9200000000005</v>
      </c>
      <c r="C130" s="6"/>
      <c r="D130" s="84">
        <f>G130-B130</f>
        <v>2522.0799999999995</v>
      </c>
      <c r="E130" s="8" t="s">
        <v>8</v>
      </c>
      <c r="F130" s="8" t="s">
        <v>8</v>
      </c>
      <c r="G130" s="90">
        <v>5732</v>
      </c>
      <c r="H130" s="91"/>
    </row>
    <row r="131" spans="1:10" ht="45.75" thickBot="1" x14ac:dyDescent="0.3">
      <c r="A131" s="2" t="s">
        <v>15</v>
      </c>
      <c r="B131" s="8" t="s">
        <v>8</v>
      </c>
      <c r="C131" s="8" t="s">
        <v>8</v>
      </c>
      <c r="D131" s="6"/>
      <c r="E131" s="8" t="s">
        <v>8</v>
      </c>
      <c r="F131" s="8" t="s">
        <v>8</v>
      </c>
      <c r="G131" s="90"/>
      <c r="H131" s="91"/>
    </row>
    <row r="132" spans="1:10" ht="15.75" thickBot="1" x14ac:dyDescent="0.3">
      <c r="A132" s="2" t="s">
        <v>16</v>
      </c>
      <c r="B132" s="8" t="s">
        <v>8</v>
      </c>
      <c r="C132" s="8" t="s">
        <v>8</v>
      </c>
      <c r="D132" s="12"/>
      <c r="E132" s="6">
        <v>6000</v>
      </c>
      <c r="F132" s="6"/>
      <c r="G132" s="90">
        <v>20000</v>
      </c>
      <c r="H132" s="91"/>
    </row>
    <row r="133" spans="1:10" ht="15.75" thickBot="1" x14ac:dyDescent="0.3">
      <c r="A133" s="3" t="s">
        <v>17</v>
      </c>
      <c r="B133" s="6">
        <f>G133*56%</f>
        <v>0</v>
      </c>
      <c r="C133" s="8"/>
      <c r="D133" s="6"/>
      <c r="E133" s="6">
        <f>G133-B133</f>
        <v>0</v>
      </c>
      <c r="F133" s="6"/>
      <c r="G133" s="90">
        <v>0</v>
      </c>
      <c r="H133" s="91"/>
    </row>
    <row r="134" spans="1:10" ht="15.75" thickBot="1" x14ac:dyDescent="0.3">
      <c r="A134" s="3" t="s">
        <v>18</v>
      </c>
      <c r="B134" s="6"/>
      <c r="C134" s="8"/>
      <c r="D134" s="8"/>
      <c r="E134" s="6"/>
      <c r="F134" s="6"/>
      <c r="G134" s="90"/>
      <c r="H134" s="91"/>
    </row>
    <row r="135" spans="1:10" ht="45.75" thickBot="1" x14ac:dyDescent="0.3">
      <c r="A135" s="2" t="s">
        <v>19</v>
      </c>
      <c r="B135" s="6"/>
      <c r="C135" s="8"/>
      <c r="D135" s="6"/>
      <c r="E135" s="6"/>
      <c r="F135" s="6"/>
      <c r="G135" s="94"/>
      <c r="H135" s="95"/>
    </row>
    <row r="136" spans="1:10" ht="45.75" thickBot="1" x14ac:dyDescent="0.3">
      <c r="A136" s="2" t="s">
        <v>20</v>
      </c>
      <c r="B136" s="6">
        <f>G136*56%</f>
        <v>1616.7200000000003</v>
      </c>
      <c r="C136" s="8"/>
      <c r="D136" s="6"/>
      <c r="E136" s="6">
        <f>G136-B136</f>
        <v>1270.2799999999997</v>
      </c>
      <c r="F136" s="6"/>
      <c r="G136" s="90">
        <v>2887</v>
      </c>
      <c r="H136" s="91"/>
    </row>
    <row r="137" spans="1:10" ht="30.75" thickBot="1" x14ac:dyDescent="0.3">
      <c r="A137" s="2" t="s">
        <v>21</v>
      </c>
      <c r="B137" s="6">
        <f>G137*56%</f>
        <v>6639.920000000001</v>
      </c>
      <c r="C137" s="6"/>
      <c r="D137" s="84">
        <f>G137-B137</f>
        <v>5217.079999999999</v>
      </c>
      <c r="E137" s="8" t="s">
        <v>8</v>
      </c>
      <c r="F137" s="8" t="s">
        <v>8</v>
      </c>
      <c r="G137" s="90">
        <f>31857-G132</f>
        <v>11857</v>
      </c>
      <c r="H137" s="91"/>
    </row>
    <row r="138" spans="1:10" ht="15.75" thickBot="1" x14ac:dyDescent="0.3">
      <c r="A138" s="3" t="s">
        <v>22</v>
      </c>
      <c r="B138" s="6">
        <f>G138*56%</f>
        <v>1177.1200000000001</v>
      </c>
      <c r="C138" s="6"/>
      <c r="D138" s="84">
        <f>G138-B138</f>
        <v>924.87999999999988</v>
      </c>
      <c r="E138" s="8" t="s">
        <v>8</v>
      </c>
      <c r="F138" s="8" t="s">
        <v>8</v>
      </c>
      <c r="G138" s="90">
        <f>1609+493</f>
        <v>2102</v>
      </c>
      <c r="H138" s="91"/>
    </row>
    <row r="139" spans="1:10" ht="15.75" thickBot="1" x14ac:dyDescent="0.3">
      <c r="A139" s="3" t="s">
        <v>23</v>
      </c>
      <c r="B139" s="8" t="s">
        <v>8</v>
      </c>
      <c r="C139" s="12"/>
      <c r="D139" s="8" t="s">
        <v>8</v>
      </c>
      <c r="E139" s="8" t="s">
        <v>8</v>
      </c>
      <c r="F139" s="8" t="s">
        <v>8</v>
      </c>
      <c r="G139" s="94"/>
      <c r="H139" s="95"/>
    </row>
    <row r="140" spans="1:10" ht="15.75" thickBot="1" x14ac:dyDescent="0.3">
      <c r="A140" s="3" t="s">
        <v>24</v>
      </c>
      <c r="B140" s="6">
        <f>G140*56%</f>
        <v>0</v>
      </c>
      <c r="C140" s="6"/>
      <c r="D140" s="6"/>
      <c r="E140" s="8" t="s">
        <v>8</v>
      </c>
      <c r="F140" s="8" t="s">
        <v>8</v>
      </c>
      <c r="G140" s="90"/>
      <c r="H140" s="91"/>
    </row>
    <row r="141" spans="1:10" ht="15.75" thickBot="1" x14ac:dyDescent="0.3">
      <c r="A141" s="4" t="s">
        <v>25</v>
      </c>
      <c r="B141" s="6">
        <f>SUM(B125:B140)</f>
        <v>121041.71999999999</v>
      </c>
      <c r="C141" s="6"/>
      <c r="D141" s="6">
        <f>SUM(D125:D140)</f>
        <v>42894.999999999993</v>
      </c>
      <c r="E141" s="6">
        <f>SUM(E125:E140)</f>
        <v>7270.28</v>
      </c>
      <c r="F141" s="6"/>
      <c r="G141" s="90">
        <f>SUM(G125:H140)</f>
        <v>185207</v>
      </c>
      <c r="H141" s="91"/>
    </row>
    <row r="142" spans="1:10" x14ac:dyDescent="0.25">
      <c r="A142" s="92" t="s">
        <v>26</v>
      </c>
      <c r="B142" s="92"/>
      <c r="C142" s="92"/>
      <c r="D142" s="92"/>
      <c r="E142" s="92"/>
      <c r="F142" s="92"/>
      <c r="G142" s="92"/>
      <c r="H142" s="92"/>
    </row>
    <row r="143" spans="1:10" x14ac:dyDescent="0.25">
      <c r="A143" s="93" t="s">
        <v>27</v>
      </c>
      <c r="B143" s="93"/>
      <c r="C143" s="93"/>
      <c r="D143" s="93"/>
      <c r="E143" s="93"/>
      <c r="F143" s="93"/>
      <c r="G143" s="93"/>
      <c r="H143" s="93"/>
    </row>
    <row r="144" spans="1:10" x14ac:dyDescent="0.25">
      <c r="A144" s="93" t="s">
        <v>28</v>
      </c>
      <c r="B144" s="93"/>
      <c r="C144" s="93"/>
      <c r="D144" s="93"/>
      <c r="E144" s="93"/>
      <c r="F144" s="93"/>
      <c r="G144" s="93"/>
      <c r="H144" s="93"/>
      <c r="J144" s="10"/>
    </row>
    <row r="145" spans="1:8" x14ac:dyDescent="0.25">
      <c r="A145" s="1"/>
      <c r="B145" s="9"/>
      <c r="C145" s="9"/>
      <c r="D145" s="9"/>
      <c r="E145" s="9"/>
      <c r="F145" s="9"/>
      <c r="G145" s="9"/>
      <c r="H145" s="9"/>
    </row>
    <row r="146" spans="1:8" ht="15.75" x14ac:dyDescent="0.25">
      <c r="A146" s="5"/>
    </row>
    <row r="147" spans="1:8" x14ac:dyDescent="0.25">
      <c r="B147" s="13" t="s">
        <v>246</v>
      </c>
      <c r="C147" s="13">
        <v>111100</v>
      </c>
    </row>
    <row r="148" spans="1:8" x14ac:dyDescent="0.25">
      <c r="B148" s="10">
        <f>C147-B141</f>
        <v>-9941.7199999999866</v>
      </c>
      <c r="C148"/>
      <c r="D148"/>
      <c r="E148"/>
      <c r="F148"/>
      <c r="G148"/>
      <c r="H148"/>
    </row>
    <row r="155" spans="1:8" x14ac:dyDescent="0.25">
      <c r="A155" s="85"/>
      <c r="B155" s="86"/>
      <c r="C155" s="86"/>
      <c r="D155" s="86"/>
      <c r="E155" s="112" t="s">
        <v>29</v>
      </c>
      <c r="F155" s="112"/>
      <c r="G155" s="112"/>
      <c r="H155" s="112"/>
    </row>
    <row r="156" spans="1:8" x14ac:dyDescent="0.25">
      <c r="A156" s="113"/>
      <c r="B156" s="114"/>
      <c r="C156" s="114"/>
      <c r="D156" s="115"/>
      <c r="E156" s="115" t="s">
        <v>0</v>
      </c>
      <c r="F156" s="115"/>
      <c r="G156" s="115"/>
      <c r="H156" s="115"/>
    </row>
    <row r="157" spans="1:8" x14ac:dyDescent="0.25">
      <c r="A157" s="113"/>
      <c r="B157" s="114"/>
      <c r="C157" s="114"/>
      <c r="D157" s="115"/>
      <c r="E157" s="115" t="s">
        <v>1</v>
      </c>
      <c r="F157" s="115"/>
      <c r="G157" s="115"/>
      <c r="H157" s="115"/>
    </row>
    <row r="158" spans="1:8" ht="15.75" thickBot="1" x14ac:dyDescent="0.3">
      <c r="A158" s="98" t="s">
        <v>247</v>
      </c>
      <c r="B158" s="98"/>
      <c r="C158" s="98"/>
      <c r="D158" s="98"/>
      <c r="E158" s="98"/>
      <c r="F158" s="98"/>
      <c r="G158" s="99"/>
      <c r="H158" s="99"/>
    </row>
    <row r="159" spans="1:8" ht="15.75" thickBot="1" x14ac:dyDescent="0.3">
      <c r="A159" s="100" t="s">
        <v>2</v>
      </c>
      <c r="B159" s="103" t="s">
        <v>30</v>
      </c>
      <c r="C159" s="104"/>
      <c r="D159" s="104"/>
      <c r="E159" s="104"/>
      <c r="F159" s="104"/>
      <c r="G159" s="105" t="s">
        <v>3</v>
      </c>
      <c r="H159" s="106"/>
    </row>
    <row r="160" spans="1:8" ht="105.75" thickBot="1" x14ac:dyDescent="0.3">
      <c r="A160" s="101"/>
      <c r="B160" s="96" t="s">
        <v>30</v>
      </c>
      <c r="C160" s="107"/>
      <c r="D160" s="83" t="s">
        <v>32</v>
      </c>
      <c r="E160" s="107" t="s">
        <v>4</v>
      </c>
      <c r="F160" s="97"/>
      <c r="G160" s="108"/>
      <c r="H160" s="109"/>
    </row>
    <row r="161" spans="1:10" ht="150.75" thickBot="1" x14ac:dyDescent="0.3">
      <c r="A161" s="102"/>
      <c r="B161" s="89" t="s">
        <v>36</v>
      </c>
      <c r="C161" s="89" t="s">
        <v>5</v>
      </c>
      <c r="D161" s="89" t="s">
        <v>33</v>
      </c>
      <c r="E161" s="89" t="s">
        <v>34</v>
      </c>
      <c r="F161" s="89" t="s">
        <v>35</v>
      </c>
      <c r="G161" s="110"/>
      <c r="H161" s="111"/>
    </row>
    <row r="162" spans="1:10" ht="15.75" thickBot="1" x14ac:dyDescent="0.3">
      <c r="A162" s="82">
        <v>1</v>
      </c>
      <c r="B162" s="89">
        <v>2</v>
      </c>
      <c r="C162" s="11">
        <v>3</v>
      </c>
      <c r="D162" s="89">
        <v>4</v>
      </c>
      <c r="E162" s="11">
        <v>5</v>
      </c>
      <c r="F162" s="89">
        <v>6</v>
      </c>
      <c r="G162" s="96" t="s">
        <v>37</v>
      </c>
      <c r="H162" s="97"/>
    </row>
    <row r="163" spans="1:10" ht="60.75" thickBot="1" x14ac:dyDescent="0.3">
      <c r="A163" s="2" t="s">
        <v>7</v>
      </c>
      <c r="B163" s="6">
        <f>B164</f>
        <v>102512.6</v>
      </c>
      <c r="C163" s="12"/>
      <c r="D163" s="6">
        <f>D164</f>
        <v>32372.399999999994</v>
      </c>
      <c r="E163" s="8" t="s">
        <v>8</v>
      </c>
      <c r="F163" s="8" t="s">
        <v>8</v>
      </c>
      <c r="G163" s="90">
        <f>135716-831</f>
        <v>134885</v>
      </c>
      <c r="H163" s="91"/>
    </row>
    <row r="164" spans="1:10" ht="15.75" thickBot="1" x14ac:dyDescent="0.3">
      <c r="A164" s="3" t="s">
        <v>9</v>
      </c>
      <c r="B164" s="6">
        <f>G164*76%</f>
        <v>102512.6</v>
      </c>
      <c r="C164" s="12"/>
      <c r="D164" s="84">
        <f>G164-B164</f>
        <v>32372.399999999994</v>
      </c>
      <c r="E164" s="8" t="s">
        <v>8</v>
      </c>
      <c r="F164" s="8" t="s">
        <v>8</v>
      </c>
      <c r="G164" s="90">
        <f>G163-G165</f>
        <v>134885</v>
      </c>
      <c r="H164" s="91"/>
    </row>
    <row r="165" spans="1:10" ht="15.75" thickBot="1" x14ac:dyDescent="0.3">
      <c r="A165" s="2" t="s">
        <v>10</v>
      </c>
      <c r="B165" s="6">
        <v>0</v>
      </c>
      <c r="C165" s="12"/>
      <c r="D165" s="6">
        <v>0</v>
      </c>
      <c r="E165" s="8" t="s">
        <v>8</v>
      </c>
      <c r="F165" s="8" t="s">
        <v>8</v>
      </c>
      <c r="G165" s="116"/>
      <c r="H165" s="91"/>
    </row>
    <row r="166" spans="1:10" ht="60.75" thickBot="1" x14ac:dyDescent="0.3">
      <c r="A166" s="2" t="s">
        <v>11</v>
      </c>
      <c r="B166" s="6">
        <f>G166*76%</f>
        <v>32025.64</v>
      </c>
      <c r="C166" s="12"/>
      <c r="D166" s="84">
        <f>G166-B166</f>
        <v>10113.36</v>
      </c>
      <c r="E166" s="8" t="s">
        <v>8</v>
      </c>
      <c r="F166" s="8" t="s">
        <v>8</v>
      </c>
      <c r="G166" s="90">
        <f>42538-399</f>
        <v>42139</v>
      </c>
      <c r="H166" s="91"/>
    </row>
    <row r="167" spans="1:10" ht="30.75" thickBot="1" x14ac:dyDescent="0.3">
      <c r="A167" s="2" t="s">
        <v>12</v>
      </c>
      <c r="B167" s="6">
        <f>G167*76%</f>
        <v>934.8</v>
      </c>
      <c r="C167" s="12"/>
      <c r="D167" s="84">
        <f>G167-B167</f>
        <v>295.20000000000005</v>
      </c>
      <c r="E167" s="8" t="s">
        <v>8</v>
      </c>
      <c r="F167" s="8" t="s">
        <v>8</v>
      </c>
      <c r="G167" s="90">
        <f>831+399</f>
        <v>1230</v>
      </c>
      <c r="H167" s="91"/>
      <c r="J167" s="10"/>
    </row>
    <row r="168" spans="1:10" ht="15.75" thickBot="1" x14ac:dyDescent="0.3">
      <c r="A168" s="2" t="s">
        <v>13</v>
      </c>
      <c r="B168" s="6">
        <f>G168*56%</f>
        <v>0</v>
      </c>
      <c r="C168" s="6"/>
      <c r="D168" s="84">
        <f>G168-B168</f>
        <v>0</v>
      </c>
      <c r="E168" s="8" t="s">
        <v>8</v>
      </c>
      <c r="F168" s="8" t="s">
        <v>8</v>
      </c>
      <c r="G168" s="90">
        <v>0</v>
      </c>
      <c r="H168" s="91"/>
    </row>
    <row r="169" spans="1:10" ht="30.75" thickBot="1" x14ac:dyDescent="0.3">
      <c r="A169" s="2" t="s">
        <v>14</v>
      </c>
      <c r="B169" s="6">
        <f>G169*56%</f>
        <v>4279.5200000000004</v>
      </c>
      <c r="C169" s="6"/>
      <c r="D169" s="84">
        <f>G169-B169</f>
        <v>3362.4799999999996</v>
      </c>
      <c r="E169" s="8" t="s">
        <v>8</v>
      </c>
      <c r="F169" s="8" t="s">
        <v>8</v>
      </c>
      <c r="G169" s="90">
        <v>7642</v>
      </c>
      <c r="H169" s="91"/>
      <c r="J169" s="10"/>
    </row>
    <row r="170" spans="1:10" ht="45.75" thickBot="1" x14ac:dyDescent="0.3">
      <c r="A170" s="2" t="s">
        <v>15</v>
      </c>
      <c r="B170" s="8" t="s">
        <v>8</v>
      </c>
      <c r="C170" s="8" t="s">
        <v>8</v>
      </c>
      <c r="D170" s="6"/>
      <c r="E170" s="8" t="s">
        <v>8</v>
      </c>
      <c r="F170" s="8" t="s">
        <v>8</v>
      </c>
      <c r="G170" s="90"/>
      <c r="H170" s="91"/>
    </row>
    <row r="171" spans="1:10" ht="15.75" thickBot="1" x14ac:dyDescent="0.3">
      <c r="A171" s="2" t="s">
        <v>16</v>
      </c>
      <c r="B171" s="8" t="s">
        <v>8</v>
      </c>
      <c r="C171" s="8" t="s">
        <v>8</v>
      </c>
      <c r="D171" s="12"/>
      <c r="E171" s="6">
        <v>12000</v>
      </c>
      <c r="F171" s="6"/>
      <c r="G171" s="90">
        <v>25000</v>
      </c>
      <c r="H171" s="91"/>
    </row>
    <row r="172" spans="1:10" ht="15.75" thickBot="1" x14ac:dyDescent="0.3">
      <c r="A172" s="3" t="s">
        <v>17</v>
      </c>
      <c r="B172" s="6">
        <f>G172*56%</f>
        <v>0</v>
      </c>
      <c r="C172" s="8"/>
      <c r="D172" s="6"/>
      <c r="E172" s="6">
        <f>G172-B172</f>
        <v>0</v>
      </c>
      <c r="F172" s="6"/>
      <c r="G172" s="90">
        <v>0</v>
      </c>
      <c r="H172" s="91"/>
    </row>
    <row r="173" spans="1:10" ht="15.75" thickBot="1" x14ac:dyDescent="0.3">
      <c r="A173" s="3" t="s">
        <v>18</v>
      </c>
      <c r="B173" s="6"/>
      <c r="C173" s="8"/>
      <c r="D173" s="8"/>
      <c r="E173" s="6"/>
      <c r="F173" s="6"/>
      <c r="G173" s="90"/>
      <c r="H173" s="91"/>
    </row>
    <row r="174" spans="1:10" ht="45.75" thickBot="1" x14ac:dyDescent="0.3">
      <c r="A174" s="2" t="s">
        <v>19</v>
      </c>
      <c r="B174" s="6"/>
      <c r="C174" s="8"/>
      <c r="D174" s="6"/>
      <c r="E174" s="6"/>
      <c r="F174" s="6"/>
      <c r="G174" s="94"/>
      <c r="H174" s="95"/>
    </row>
    <row r="175" spans="1:10" ht="45.75" thickBot="1" x14ac:dyDescent="0.3">
      <c r="A175" s="2" t="s">
        <v>20</v>
      </c>
      <c r="B175" s="6">
        <f>G175*56%</f>
        <v>2021.0400000000002</v>
      </c>
      <c r="C175" s="8"/>
      <c r="D175" s="6"/>
      <c r="E175" s="6">
        <f>G175-B175</f>
        <v>1587.9599999999998</v>
      </c>
      <c r="F175" s="6"/>
      <c r="G175" s="90">
        <v>3609</v>
      </c>
      <c r="H175" s="91"/>
    </row>
    <row r="176" spans="1:10" ht="30.75" thickBot="1" x14ac:dyDescent="0.3">
      <c r="A176" s="2" t="s">
        <v>21</v>
      </c>
      <c r="B176" s="6">
        <f>G176*56%</f>
        <v>7137.2000000000007</v>
      </c>
      <c r="C176" s="6"/>
      <c r="D176" s="84">
        <f>G176-B176</f>
        <v>5607.7999999999993</v>
      </c>
      <c r="E176" s="8" t="s">
        <v>8</v>
      </c>
      <c r="F176" s="8" t="s">
        <v>8</v>
      </c>
      <c r="G176" s="90">
        <f>37745-G171</f>
        <v>12745</v>
      </c>
      <c r="H176" s="91"/>
    </row>
    <row r="177" spans="1:11" ht="15.75" thickBot="1" x14ac:dyDescent="0.3">
      <c r="A177" s="3" t="s">
        <v>22</v>
      </c>
      <c r="B177" s="6">
        <f>G177*56%</f>
        <v>1268.96</v>
      </c>
      <c r="C177" s="6"/>
      <c r="D177" s="84">
        <f>G177-B177</f>
        <v>997.04</v>
      </c>
      <c r="E177" s="8" t="s">
        <v>8</v>
      </c>
      <c r="F177" s="8" t="s">
        <v>8</v>
      </c>
      <c r="G177" s="90">
        <f>1732+534</f>
        <v>2266</v>
      </c>
      <c r="H177" s="91"/>
    </row>
    <row r="178" spans="1:11" ht="15.75" thickBot="1" x14ac:dyDescent="0.3">
      <c r="A178" s="3" t="s">
        <v>23</v>
      </c>
      <c r="B178" s="8" t="s">
        <v>8</v>
      </c>
      <c r="C178" s="12"/>
      <c r="D178" s="8" t="s">
        <v>8</v>
      </c>
      <c r="E178" s="8" t="s">
        <v>8</v>
      </c>
      <c r="F178" s="8" t="s">
        <v>8</v>
      </c>
      <c r="G178" s="94"/>
      <c r="H178" s="95"/>
    </row>
    <row r="179" spans="1:11" ht="15.75" thickBot="1" x14ac:dyDescent="0.3">
      <c r="A179" s="3" t="s">
        <v>24</v>
      </c>
      <c r="B179" s="6">
        <f>G179*56%</f>
        <v>0</v>
      </c>
      <c r="C179" s="6"/>
      <c r="D179" s="6"/>
      <c r="E179" s="8" t="s">
        <v>8</v>
      </c>
      <c r="F179" s="8" t="s">
        <v>8</v>
      </c>
      <c r="G179" s="90"/>
      <c r="H179" s="91"/>
    </row>
    <row r="180" spans="1:11" ht="15.75" thickBot="1" x14ac:dyDescent="0.3">
      <c r="A180" s="4" t="s">
        <v>25</v>
      </c>
      <c r="B180" s="6">
        <f>SUM(B164:B179)</f>
        <v>150179.75999999998</v>
      </c>
      <c r="C180" s="6"/>
      <c r="D180" s="6">
        <f>SUM(D164:D179)</f>
        <v>52748.279999999992</v>
      </c>
      <c r="E180" s="6">
        <f>SUM(E164:E179)</f>
        <v>13587.96</v>
      </c>
      <c r="F180" s="6"/>
      <c r="G180" s="90">
        <f>SUM(G164:H179)</f>
        <v>229516</v>
      </c>
      <c r="H180" s="91"/>
    </row>
    <row r="181" spans="1:11" x14ac:dyDescent="0.25">
      <c r="A181" s="92" t="s">
        <v>26</v>
      </c>
      <c r="B181" s="92"/>
      <c r="C181" s="92"/>
      <c r="D181" s="92"/>
      <c r="E181" s="92"/>
      <c r="F181" s="92"/>
      <c r="G181" s="92"/>
      <c r="H181" s="92"/>
    </row>
    <row r="182" spans="1:11" x14ac:dyDescent="0.25">
      <c r="A182" s="93" t="s">
        <v>27</v>
      </c>
      <c r="B182" s="93"/>
      <c r="C182" s="93"/>
      <c r="D182" s="93"/>
      <c r="E182" s="93"/>
      <c r="F182" s="93"/>
      <c r="G182" s="93"/>
      <c r="H182" s="93"/>
    </row>
    <row r="183" spans="1:11" x14ac:dyDescent="0.25">
      <c r="A183" s="93" t="s">
        <v>28</v>
      </c>
      <c r="B183" s="93"/>
      <c r="C183" s="93"/>
      <c r="D183" s="93"/>
      <c r="E183" s="93"/>
      <c r="F183" s="93"/>
      <c r="G183" s="93"/>
      <c r="H183" s="93"/>
    </row>
    <row r="184" spans="1:11" x14ac:dyDescent="0.25">
      <c r="A184" s="1"/>
      <c r="B184" s="9"/>
      <c r="C184" s="9"/>
      <c r="D184" s="9"/>
      <c r="E184" s="9"/>
      <c r="F184" s="9"/>
      <c r="G184" s="9"/>
      <c r="H184" s="9"/>
      <c r="K184" s="10"/>
    </row>
    <row r="185" spans="1:11" ht="15.75" x14ac:dyDescent="0.25">
      <c r="A185" s="5"/>
    </row>
    <row r="186" spans="1:11" x14ac:dyDescent="0.25">
      <c r="B186" s="13" t="s">
        <v>248</v>
      </c>
      <c r="C186" s="13">
        <v>173795</v>
      </c>
    </row>
    <row r="187" spans="1:11" x14ac:dyDescent="0.25">
      <c r="C187" s="10">
        <f>C186-B180</f>
        <v>23615.24000000002</v>
      </c>
      <c r="D187"/>
      <c r="E187"/>
      <c r="F187"/>
      <c r="G187"/>
      <c r="H187"/>
    </row>
    <row r="188" spans="1:11" x14ac:dyDescent="0.25">
      <c r="D188"/>
      <c r="E188"/>
      <c r="F188"/>
      <c r="G188"/>
      <c r="H188"/>
    </row>
    <row r="189" spans="1:11" x14ac:dyDescent="0.25">
      <c r="D189"/>
      <c r="E189"/>
      <c r="F189"/>
      <c r="G189"/>
      <c r="H189"/>
    </row>
    <row r="190" spans="1:11" x14ac:dyDescent="0.25">
      <c r="D190"/>
      <c r="E190"/>
      <c r="F190"/>
      <c r="G190"/>
      <c r="H190"/>
    </row>
    <row r="191" spans="1:11" x14ac:dyDescent="0.25">
      <c r="A191" s="85"/>
      <c r="B191" s="86"/>
      <c r="C191" s="86"/>
      <c r="D191" s="86"/>
      <c r="E191" s="112" t="s">
        <v>29</v>
      </c>
      <c r="F191" s="112"/>
      <c r="G191" s="112"/>
      <c r="H191" s="112"/>
    </row>
    <row r="192" spans="1:11" x14ac:dyDescent="0.25">
      <c r="A192" s="113"/>
      <c r="B192" s="114"/>
      <c r="C192" s="114"/>
      <c r="D192" s="115"/>
      <c r="E192" s="115" t="s">
        <v>0</v>
      </c>
      <c r="F192" s="115"/>
      <c r="G192" s="115"/>
      <c r="H192" s="115"/>
    </row>
    <row r="193" spans="1:10" x14ac:dyDescent="0.25">
      <c r="A193" s="113"/>
      <c r="B193" s="114"/>
      <c r="C193" s="114"/>
      <c r="D193" s="115"/>
      <c r="E193" s="115" t="s">
        <v>1</v>
      </c>
      <c r="F193" s="115"/>
      <c r="G193" s="115"/>
      <c r="H193" s="115"/>
    </row>
    <row r="194" spans="1:10" ht="15.75" thickBot="1" x14ac:dyDescent="0.3">
      <c r="A194" s="98" t="s">
        <v>249</v>
      </c>
      <c r="B194" s="98"/>
      <c r="C194" s="98"/>
      <c r="D194" s="98"/>
      <c r="E194" s="98"/>
      <c r="F194" s="98"/>
      <c r="G194" s="99"/>
      <c r="H194" s="99"/>
    </row>
    <row r="195" spans="1:10" ht="15.75" thickBot="1" x14ac:dyDescent="0.3">
      <c r="A195" s="100" t="s">
        <v>2</v>
      </c>
      <c r="B195" s="103" t="s">
        <v>30</v>
      </c>
      <c r="C195" s="104"/>
      <c r="D195" s="104"/>
      <c r="E195" s="104"/>
      <c r="F195" s="104"/>
      <c r="G195" s="105" t="s">
        <v>3</v>
      </c>
      <c r="H195" s="106"/>
    </row>
    <row r="196" spans="1:10" ht="105.75" thickBot="1" x14ac:dyDescent="0.3">
      <c r="A196" s="101"/>
      <c r="B196" s="96" t="s">
        <v>30</v>
      </c>
      <c r="C196" s="107"/>
      <c r="D196" s="83" t="s">
        <v>32</v>
      </c>
      <c r="E196" s="107" t="s">
        <v>4</v>
      </c>
      <c r="F196" s="97"/>
      <c r="G196" s="108"/>
      <c r="H196" s="109"/>
    </row>
    <row r="197" spans="1:10" ht="150.75" thickBot="1" x14ac:dyDescent="0.3">
      <c r="A197" s="102"/>
      <c r="B197" s="89" t="s">
        <v>36</v>
      </c>
      <c r="C197" s="89" t="s">
        <v>5</v>
      </c>
      <c r="D197" s="89" t="s">
        <v>33</v>
      </c>
      <c r="E197" s="89" t="s">
        <v>34</v>
      </c>
      <c r="F197" s="89" t="s">
        <v>35</v>
      </c>
      <c r="G197" s="110"/>
      <c r="H197" s="111"/>
    </row>
    <row r="198" spans="1:10" ht="15.75" thickBot="1" x14ac:dyDescent="0.3">
      <c r="A198" s="82">
        <v>1</v>
      </c>
      <c r="B198" s="89">
        <v>2</v>
      </c>
      <c r="C198" s="11">
        <v>3</v>
      </c>
      <c r="D198" s="89">
        <v>4</v>
      </c>
      <c r="E198" s="11">
        <v>5</v>
      </c>
      <c r="F198" s="89">
        <v>6</v>
      </c>
      <c r="G198" s="96" t="s">
        <v>37</v>
      </c>
      <c r="H198" s="97"/>
    </row>
    <row r="199" spans="1:10" ht="60.75" thickBot="1" x14ac:dyDescent="0.3">
      <c r="A199" s="2" t="s">
        <v>7</v>
      </c>
      <c r="B199" s="6">
        <f>B200</f>
        <v>123982.6</v>
      </c>
      <c r="C199" s="12"/>
      <c r="D199" s="6">
        <f>D200</f>
        <v>39152.399999999994</v>
      </c>
      <c r="E199" s="8" t="s">
        <v>8</v>
      </c>
      <c r="F199" s="8" t="s">
        <v>8</v>
      </c>
      <c r="G199" s="90">
        <f>165041-996-910</f>
        <v>163135</v>
      </c>
      <c r="H199" s="91"/>
    </row>
    <row r="200" spans="1:10" ht="15.75" thickBot="1" x14ac:dyDescent="0.3">
      <c r="A200" s="3" t="s">
        <v>9</v>
      </c>
      <c r="B200" s="6">
        <f>G200*76%</f>
        <v>123982.6</v>
      </c>
      <c r="C200" s="12"/>
      <c r="D200" s="84">
        <f>G200-B200</f>
        <v>39152.399999999994</v>
      </c>
      <c r="E200" s="8" t="s">
        <v>8</v>
      </c>
      <c r="F200" s="8" t="s">
        <v>8</v>
      </c>
      <c r="G200" s="90">
        <f>G199-G201</f>
        <v>163135</v>
      </c>
      <c r="H200" s="91"/>
    </row>
    <row r="201" spans="1:10" ht="15.75" thickBot="1" x14ac:dyDescent="0.3">
      <c r="A201" s="2" t="s">
        <v>10</v>
      </c>
      <c r="B201" s="6">
        <v>0</v>
      </c>
      <c r="C201" s="12"/>
      <c r="D201" s="6">
        <v>0</v>
      </c>
      <c r="E201" s="8" t="s">
        <v>8</v>
      </c>
      <c r="F201" s="8" t="s">
        <v>8</v>
      </c>
      <c r="G201" s="116"/>
      <c r="H201" s="91"/>
    </row>
    <row r="202" spans="1:10" ht="60.75" thickBot="1" x14ac:dyDescent="0.3">
      <c r="A202" s="2" t="s">
        <v>11</v>
      </c>
      <c r="B202" s="6">
        <f>G202*76%</f>
        <v>38568.480000000003</v>
      </c>
      <c r="C202" s="12"/>
      <c r="D202" s="84">
        <f>G202-B202</f>
        <v>12179.519999999997</v>
      </c>
      <c r="E202" s="8" t="s">
        <v>8</v>
      </c>
      <c r="F202" s="8" t="s">
        <v>8</v>
      </c>
      <c r="G202" s="90">
        <f>51209-461</f>
        <v>50748</v>
      </c>
      <c r="H202" s="91"/>
    </row>
    <row r="203" spans="1:10" ht="30.75" thickBot="1" x14ac:dyDescent="0.3">
      <c r="A203" s="2" t="s">
        <v>12</v>
      </c>
      <c r="B203" s="6">
        <f>G203*76%</f>
        <v>1798.92</v>
      </c>
      <c r="C203" s="12"/>
      <c r="D203" s="84">
        <f>G203-B203</f>
        <v>568.07999999999993</v>
      </c>
      <c r="E203" s="8" t="s">
        <v>8</v>
      </c>
      <c r="F203" s="8" t="s">
        <v>8</v>
      </c>
      <c r="G203" s="90">
        <f>996+910+461</f>
        <v>2367</v>
      </c>
      <c r="H203" s="91"/>
    </row>
    <row r="204" spans="1:10" ht="15.75" thickBot="1" x14ac:dyDescent="0.3">
      <c r="A204" s="2" t="s">
        <v>13</v>
      </c>
      <c r="B204" s="6">
        <f>G204*56%</f>
        <v>0</v>
      </c>
      <c r="C204" s="6"/>
      <c r="D204" s="84">
        <f>G204-B204</f>
        <v>0</v>
      </c>
      <c r="E204" s="8" t="s">
        <v>8</v>
      </c>
      <c r="F204" s="8" t="s">
        <v>8</v>
      </c>
      <c r="G204" s="90">
        <v>0</v>
      </c>
      <c r="H204" s="91"/>
    </row>
    <row r="205" spans="1:10" ht="30.75" thickBot="1" x14ac:dyDescent="0.3">
      <c r="A205" s="2" t="s">
        <v>14</v>
      </c>
      <c r="B205" s="6">
        <f>G205*56%</f>
        <v>4658.0800000000008</v>
      </c>
      <c r="C205" s="6"/>
      <c r="D205" s="84">
        <f>G205-B205</f>
        <v>3659.9199999999992</v>
      </c>
      <c r="E205" s="8" t="s">
        <v>8</v>
      </c>
      <c r="F205" s="8" t="s">
        <v>8</v>
      </c>
      <c r="G205" s="90">
        <v>8318</v>
      </c>
      <c r="H205" s="91"/>
      <c r="J205" s="10"/>
    </row>
    <row r="206" spans="1:10" ht="45.75" thickBot="1" x14ac:dyDescent="0.3">
      <c r="A206" s="2" t="s">
        <v>15</v>
      </c>
      <c r="B206" s="8" t="s">
        <v>8</v>
      </c>
      <c r="C206" s="8" t="s">
        <v>8</v>
      </c>
      <c r="D206" s="6"/>
      <c r="E206" s="8" t="s">
        <v>8</v>
      </c>
      <c r="F206" s="8" t="s">
        <v>8</v>
      </c>
      <c r="G206" s="90">
        <v>0</v>
      </c>
      <c r="H206" s="91"/>
    </row>
    <row r="207" spans="1:10" ht="15.75" thickBot="1" x14ac:dyDescent="0.3">
      <c r="A207" s="2" t="s">
        <v>16</v>
      </c>
      <c r="B207" s="8" t="s">
        <v>8</v>
      </c>
      <c r="C207" s="8" t="s">
        <v>8</v>
      </c>
      <c r="D207" s="12"/>
      <c r="E207" s="6">
        <v>15000</v>
      </c>
      <c r="F207" s="6"/>
      <c r="G207" s="90">
        <v>30000</v>
      </c>
      <c r="H207" s="91"/>
    </row>
    <row r="208" spans="1:10" ht="15.75" thickBot="1" x14ac:dyDescent="0.3">
      <c r="A208" s="3" t="s">
        <v>17</v>
      </c>
      <c r="B208" s="6">
        <f>G208*56%</f>
        <v>0</v>
      </c>
      <c r="C208" s="8"/>
      <c r="D208" s="6"/>
      <c r="E208" s="6">
        <f>G208-B208</f>
        <v>0</v>
      </c>
      <c r="F208" s="6"/>
      <c r="G208" s="90">
        <v>0</v>
      </c>
      <c r="H208" s="91"/>
    </row>
    <row r="209" spans="1:10" ht="15.75" thickBot="1" x14ac:dyDescent="0.3">
      <c r="A209" s="3" t="s">
        <v>18</v>
      </c>
      <c r="B209" s="6"/>
      <c r="C209" s="8"/>
      <c r="D209" s="8"/>
      <c r="E209" s="6"/>
      <c r="F209" s="6"/>
      <c r="G209" s="90"/>
      <c r="H209" s="91"/>
    </row>
    <row r="210" spans="1:10" ht="45.75" thickBot="1" x14ac:dyDescent="0.3">
      <c r="A210" s="2" t="s">
        <v>19</v>
      </c>
      <c r="B210" s="6"/>
      <c r="C210" s="8"/>
      <c r="D210" s="6"/>
      <c r="E210" s="6"/>
      <c r="F210" s="6"/>
      <c r="G210" s="94"/>
      <c r="H210" s="95"/>
    </row>
    <row r="211" spans="1:10" ht="45.75" thickBot="1" x14ac:dyDescent="0.3">
      <c r="A211" s="2" t="s">
        <v>20</v>
      </c>
      <c r="B211" s="6">
        <f>G211*56%</f>
        <v>2425.36</v>
      </c>
      <c r="C211" s="8"/>
      <c r="D211" s="6"/>
      <c r="E211" s="6"/>
      <c r="F211" s="6"/>
      <c r="G211" s="90">
        <v>4331</v>
      </c>
      <c r="H211" s="91"/>
    </row>
    <row r="212" spans="1:10" ht="30.75" thickBot="1" x14ac:dyDescent="0.3">
      <c r="A212" s="2" t="s">
        <v>21</v>
      </c>
      <c r="B212" s="6">
        <f>G212*56%</f>
        <v>7868.0000000000009</v>
      </c>
      <c r="C212" s="6"/>
      <c r="D212" s="84">
        <f>G212-B212</f>
        <v>6181.9999999999991</v>
      </c>
      <c r="E212" s="8" t="s">
        <v>8</v>
      </c>
      <c r="F212" s="8" t="s">
        <v>8</v>
      </c>
      <c r="G212" s="90">
        <f>44050-G207</f>
        <v>14050</v>
      </c>
      <c r="H212" s="91"/>
    </row>
    <row r="213" spans="1:10" ht="15.75" thickBot="1" x14ac:dyDescent="0.3">
      <c r="A213" s="3" t="s">
        <v>22</v>
      </c>
      <c r="B213" s="6">
        <f>G213*56%</f>
        <v>1291.3600000000001</v>
      </c>
      <c r="C213" s="6"/>
      <c r="D213" s="84">
        <f>G213-B213</f>
        <v>1014.6399999999999</v>
      </c>
      <c r="E213" s="8" t="s">
        <v>8</v>
      </c>
      <c r="F213" s="8" t="s">
        <v>8</v>
      </c>
      <c r="G213" s="90">
        <f>1732+574</f>
        <v>2306</v>
      </c>
      <c r="H213" s="91"/>
    </row>
    <row r="214" spans="1:10" ht="15.75" thickBot="1" x14ac:dyDescent="0.3">
      <c r="A214" s="3" t="s">
        <v>23</v>
      </c>
      <c r="B214" s="8" t="s">
        <v>8</v>
      </c>
      <c r="C214" s="12"/>
      <c r="D214" s="8" t="s">
        <v>8</v>
      </c>
      <c r="E214" s="8" t="s">
        <v>8</v>
      </c>
      <c r="F214" s="8" t="s">
        <v>8</v>
      </c>
      <c r="G214" s="94"/>
      <c r="H214" s="95"/>
    </row>
    <row r="215" spans="1:10" ht="15.75" thickBot="1" x14ac:dyDescent="0.3">
      <c r="A215" s="3" t="s">
        <v>24</v>
      </c>
      <c r="B215" s="6">
        <f>G215*56%</f>
        <v>0</v>
      </c>
      <c r="C215" s="6"/>
      <c r="D215" s="6"/>
      <c r="E215" s="8" t="s">
        <v>8</v>
      </c>
      <c r="F215" s="8" t="s">
        <v>8</v>
      </c>
      <c r="G215" s="90"/>
      <c r="H215" s="91"/>
    </row>
    <row r="216" spans="1:10" ht="15.75" thickBot="1" x14ac:dyDescent="0.3">
      <c r="A216" s="4" t="s">
        <v>25</v>
      </c>
      <c r="B216" s="6">
        <f>SUM(B200:B215)</f>
        <v>180592.8</v>
      </c>
      <c r="C216" s="6"/>
      <c r="D216" s="6">
        <f>SUM(D200:D215)</f>
        <v>62756.55999999999</v>
      </c>
      <c r="E216" s="6">
        <f>SUM(E200:E215)</f>
        <v>15000</v>
      </c>
      <c r="F216" s="6"/>
      <c r="G216" s="90">
        <f>SUM(G200:H215)</f>
        <v>275255</v>
      </c>
      <c r="H216" s="91"/>
    </row>
    <row r="217" spans="1:10" x14ac:dyDescent="0.25">
      <c r="A217" s="92" t="s">
        <v>26</v>
      </c>
      <c r="B217" s="92"/>
      <c r="C217" s="92"/>
      <c r="D217" s="92"/>
      <c r="E217" s="92"/>
      <c r="F217" s="92"/>
      <c r="G217" s="92"/>
      <c r="H217" s="92"/>
    </row>
    <row r="218" spans="1:10" x14ac:dyDescent="0.25">
      <c r="A218" s="93" t="s">
        <v>27</v>
      </c>
      <c r="B218" s="93"/>
      <c r="C218" s="93"/>
      <c r="D218" s="93"/>
      <c r="E218" s="93"/>
      <c r="F218" s="93"/>
      <c r="G218" s="93"/>
      <c r="H218" s="93"/>
    </row>
    <row r="219" spans="1:10" x14ac:dyDescent="0.25">
      <c r="A219" s="93" t="s">
        <v>28</v>
      </c>
      <c r="B219" s="93"/>
      <c r="C219" s="93"/>
      <c r="D219" s="93"/>
      <c r="E219" s="93"/>
      <c r="F219" s="93"/>
      <c r="G219" s="93"/>
      <c r="H219" s="93"/>
      <c r="J219" s="10"/>
    </row>
    <row r="220" spans="1:10" x14ac:dyDescent="0.25">
      <c r="A220" s="1"/>
      <c r="B220" s="9"/>
      <c r="C220" s="9"/>
      <c r="D220" s="9"/>
      <c r="E220" s="9"/>
      <c r="F220" s="9"/>
      <c r="G220" s="9"/>
      <c r="H220" s="9"/>
    </row>
    <row r="221" spans="1:10" ht="15.75" x14ac:dyDescent="0.25">
      <c r="A221" s="5"/>
    </row>
    <row r="222" spans="1:10" x14ac:dyDescent="0.25">
      <c r="B222" s="13" t="s">
        <v>250</v>
      </c>
      <c r="C222" s="13">
        <v>204859</v>
      </c>
    </row>
    <row r="223" spans="1:10" x14ac:dyDescent="0.25">
      <c r="C223" s="10">
        <f>C222-B216</f>
        <v>24266.200000000012</v>
      </c>
      <c r="D223"/>
      <c r="E223"/>
      <c r="F223"/>
      <c r="G223"/>
      <c r="H223"/>
    </row>
    <row r="224" spans="1:10" x14ac:dyDescent="0.25">
      <c r="D224"/>
      <c r="E224"/>
      <c r="F224"/>
      <c r="G224"/>
      <c r="H224"/>
    </row>
    <row r="225" spans="1:10" x14ac:dyDescent="0.25">
      <c r="D225"/>
      <c r="E225"/>
      <c r="F225"/>
      <c r="G225"/>
      <c r="H225"/>
    </row>
    <row r="226" spans="1:10" x14ac:dyDescent="0.25">
      <c r="D226"/>
      <c r="E226"/>
      <c r="F226"/>
      <c r="G226"/>
      <c r="H226"/>
    </row>
    <row r="227" spans="1:10" x14ac:dyDescent="0.25">
      <c r="D227"/>
      <c r="E227"/>
      <c r="F227"/>
      <c r="G227"/>
      <c r="H227"/>
    </row>
    <row r="228" spans="1:10" x14ac:dyDescent="0.25">
      <c r="A228" s="85"/>
      <c r="B228" s="86"/>
      <c r="C228" s="86"/>
      <c r="D228" s="86"/>
      <c r="E228" s="112" t="s">
        <v>29</v>
      </c>
      <c r="F228" s="112"/>
      <c r="G228" s="112"/>
      <c r="H228" s="112"/>
    </row>
    <row r="229" spans="1:10" x14ac:dyDescent="0.25">
      <c r="A229" s="113"/>
      <c r="B229" s="114"/>
      <c r="C229" s="114"/>
      <c r="D229" s="115"/>
      <c r="E229" s="115" t="s">
        <v>0</v>
      </c>
      <c r="F229" s="115"/>
      <c r="G229" s="115"/>
      <c r="H229" s="115"/>
    </row>
    <row r="230" spans="1:10" x14ac:dyDescent="0.25">
      <c r="A230" s="113"/>
      <c r="B230" s="114"/>
      <c r="C230" s="114"/>
      <c r="D230" s="115"/>
      <c r="E230" s="115" t="s">
        <v>1</v>
      </c>
      <c r="F230" s="115"/>
      <c r="G230" s="115"/>
      <c r="H230" s="115"/>
    </row>
    <row r="231" spans="1:10" ht="15.75" thickBot="1" x14ac:dyDescent="0.3">
      <c r="A231" s="98" t="s">
        <v>259</v>
      </c>
      <c r="B231" s="98"/>
      <c r="C231" s="98"/>
      <c r="D231" s="98"/>
      <c r="E231" s="98"/>
      <c r="F231" s="98"/>
      <c r="G231" s="99"/>
      <c r="H231" s="99"/>
    </row>
    <row r="232" spans="1:10" ht="15.75" thickBot="1" x14ac:dyDescent="0.3">
      <c r="A232" s="100" t="s">
        <v>2</v>
      </c>
      <c r="B232" s="103" t="s">
        <v>30</v>
      </c>
      <c r="C232" s="104"/>
      <c r="D232" s="104"/>
      <c r="E232" s="104"/>
      <c r="F232" s="104"/>
      <c r="G232" s="105" t="s">
        <v>3</v>
      </c>
      <c r="H232" s="106"/>
    </row>
    <row r="233" spans="1:10" ht="105.75" thickBot="1" x14ac:dyDescent="0.3">
      <c r="A233" s="101"/>
      <c r="B233" s="96" t="s">
        <v>30</v>
      </c>
      <c r="C233" s="107"/>
      <c r="D233" s="83" t="s">
        <v>32</v>
      </c>
      <c r="E233" s="107" t="s">
        <v>4</v>
      </c>
      <c r="F233" s="97"/>
      <c r="G233" s="108"/>
      <c r="H233" s="109"/>
    </row>
    <row r="234" spans="1:10" ht="150.75" thickBot="1" x14ac:dyDescent="0.3">
      <c r="A234" s="102"/>
      <c r="B234" s="89" t="s">
        <v>36</v>
      </c>
      <c r="C234" s="89" t="s">
        <v>5</v>
      </c>
      <c r="D234" s="89" t="s">
        <v>33</v>
      </c>
      <c r="E234" s="89" t="s">
        <v>34</v>
      </c>
      <c r="F234" s="89" t="s">
        <v>35</v>
      </c>
      <c r="G234" s="110"/>
      <c r="H234" s="111"/>
    </row>
    <row r="235" spans="1:10" ht="15.75" thickBot="1" x14ac:dyDescent="0.3">
      <c r="A235" s="82">
        <v>1</v>
      </c>
      <c r="B235" s="89">
        <v>2</v>
      </c>
      <c r="C235" s="11">
        <v>3</v>
      </c>
      <c r="D235" s="89">
        <v>4</v>
      </c>
      <c r="E235" s="11">
        <v>5</v>
      </c>
      <c r="F235" s="89">
        <v>6</v>
      </c>
      <c r="G235" s="96" t="s">
        <v>37</v>
      </c>
      <c r="H235" s="97"/>
    </row>
    <row r="236" spans="1:10" ht="60.75" thickBot="1" x14ac:dyDescent="0.3">
      <c r="A236" s="2" t="s">
        <v>7</v>
      </c>
      <c r="B236" s="6">
        <f>B237</f>
        <v>139049.60000000001</v>
      </c>
      <c r="C236" s="12"/>
      <c r="D236" s="6">
        <f>D237</f>
        <v>43910.399999999994</v>
      </c>
      <c r="E236" s="8" t="s">
        <v>8</v>
      </c>
      <c r="F236" s="8" t="s">
        <v>8</v>
      </c>
      <c r="G236" s="90">
        <f>185138-1100-1078</f>
        <v>182960</v>
      </c>
      <c r="H236" s="91"/>
    </row>
    <row r="237" spans="1:10" ht="15.75" thickBot="1" x14ac:dyDescent="0.3">
      <c r="A237" s="3" t="s">
        <v>9</v>
      </c>
      <c r="B237" s="6">
        <f>G237*76%</f>
        <v>139049.60000000001</v>
      </c>
      <c r="C237" s="12"/>
      <c r="D237" s="84">
        <f>G237-B237</f>
        <v>43910.399999999994</v>
      </c>
      <c r="E237" s="8" t="s">
        <v>8</v>
      </c>
      <c r="F237" s="8" t="s">
        <v>8</v>
      </c>
      <c r="G237" s="90">
        <f>G236-G238</f>
        <v>182960</v>
      </c>
      <c r="H237" s="91"/>
    </row>
    <row r="238" spans="1:10" ht="15.75" thickBot="1" x14ac:dyDescent="0.3">
      <c r="A238" s="2" t="s">
        <v>10</v>
      </c>
      <c r="B238" s="6">
        <v>0</v>
      </c>
      <c r="C238" s="12"/>
      <c r="D238" s="6">
        <v>0</v>
      </c>
      <c r="E238" s="8" t="s">
        <v>8</v>
      </c>
      <c r="F238" s="8" t="s">
        <v>8</v>
      </c>
      <c r="G238" s="116"/>
      <c r="H238" s="91"/>
      <c r="J238" s="10"/>
    </row>
    <row r="239" spans="1:10" ht="60.75" thickBot="1" x14ac:dyDescent="0.3">
      <c r="A239" s="2" t="s">
        <v>11</v>
      </c>
      <c r="B239" s="6">
        <f>G239*76%</f>
        <v>44408.32</v>
      </c>
      <c r="C239" s="12"/>
      <c r="D239" s="84">
        <f>G239-B239</f>
        <v>14023.68</v>
      </c>
      <c r="E239" s="8" t="s">
        <v>8</v>
      </c>
      <c r="F239" s="8" t="s">
        <v>8</v>
      </c>
      <c r="G239" s="90">
        <f>58633-201</f>
        <v>58432</v>
      </c>
      <c r="H239" s="91"/>
    </row>
    <row r="240" spans="1:10" ht="30.75" thickBot="1" x14ac:dyDescent="0.3">
      <c r="A240" s="2" t="s">
        <v>12</v>
      </c>
      <c r="B240" s="6">
        <f>G240*76%</f>
        <v>1808.04</v>
      </c>
      <c r="C240" s="12"/>
      <c r="D240" s="84">
        <f>G240-B240</f>
        <v>570.96</v>
      </c>
      <c r="E240" s="8" t="s">
        <v>8</v>
      </c>
      <c r="F240" s="8" t="s">
        <v>8</v>
      </c>
      <c r="G240" s="90">
        <f>1100+1078+201</f>
        <v>2379</v>
      </c>
      <c r="H240" s="91"/>
    </row>
    <row r="241" spans="1:10" ht="15.75" thickBot="1" x14ac:dyDescent="0.3">
      <c r="A241" s="2" t="s">
        <v>13</v>
      </c>
      <c r="B241" s="6">
        <f>G241*56%</f>
        <v>0</v>
      </c>
      <c r="C241" s="6"/>
      <c r="D241" s="84">
        <f>G241-B241</f>
        <v>0</v>
      </c>
      <c r="E241" s="8" t="s">
        <v>8</v>
      </c>
      <c r="F241" s="8" t="s">
        <v>8</v>
      </c>
      <c r="G241" s="90"/>
      <c r="H241" s="91"/>
    </row>
    <row r="242" spans="1:10" ht="30.75" thickBot="1" x14ac:dyDescent="0.3">
      <c r="A242" s="2" t="s">
        <v>14</v>
      </c>
      <c r="B242" s="6">
        <f>G242*56%</f>
        <v>11111.52</v>
      </c>
      <c r="C242" s="6"/>
      <c r="D242" s="84">
        <f>G242-B242</f>
        <v>8730.48</v>
      </c>
      <c r="E242" s="8" t="s">
        <v>8</v>
      </c>
      <c r="F242" s="8" t="s">
        <v>8</v>
      </c>
      <c r="G242" s="90">
        <f>18110+1732</f>
        <v>19842</v>
      </c>
      <c r="H242" s="91"/>
      <c r="J242" s="10"/>
    </row>
    <row r="243" spans="1:10" ht="45.75" thickBot="1" x14ac:dyDescent="0.3">
      <c r="A243" s="2" t="s">
        <v>15</v>
      </c>
      <c r="B243" s="8" t="s">
        <v>8</v>
      </c>
      <c r="C243" s="8" t="s">
        <v>8</v>
      </c>
      <c r="D243" s="6"/>
      <c r="E243" s="8" t="s">
        <v>8</v>
      </c>
      <c r="F243" s="8" t="s">
        <v>8</v>
      </c>
      <c r="G243" s="90"/>
      <c r="H243" s="91"/>
    </row>
    <row r="244" spans="1:10" ht="15.75" thickBot="1" x14ac:dyDescent="0.3">
      <c r="A244" s="2" t="s">
        <v>16</v>
      </c>
      <c r="B244" s="8" t="s">
        <v>8</v>
      </c>
      <c r="C244" s="8" t="s">
        <v>8</v>
      </c>
      <c r="D244" s="12"/>
      <c r="E244" s="6">
        <f>G244</f>
        <v>35000</v>
      </c>
      <c r="F244" s="6"/>
      <c r="G244" s="90">
        <v>35000</v>
      </c>
      <c r="H244" s="91"/>
    </row>
    <row r="245" spans="1:10" ht="15.75" thickBot="1" x14ac:dyDescent="0.3">
      <c r="A245" s="3" t="s">
        <v>17</v>
      </c>
      <c r="B245" s="6">
        <f>G245*56%</f>
        <v>0</v>
      </c>
      <c r="C245" s="8"/>
      <c r="D245" s="6"/>
      <c r="E245" s="6">
        <f>G245-B245</f>
        <v>0</v>
      </c>
      <c r="F245" s="6"/>
      <c r="G245" s="90">
        <v>0</v>
      </c>
      <c r="H245" s="91"/>
    </row>
    <row r="246" spans="1:10" ht="15.75" thickBot="1" x14ac:dyDescent="0.3">
      <c r="A246" s="3" t="s">
        <v>18</v>
      </c>
      <c r="B246" s="6"/>
      <c r="C246" s="8"/>
      <c r="D246" s="8"/>
      <c r="E246" s="6"/>
      <c r="F246" s="6"/>
      <c r="G246" s="90"/>
      <c r="H246" s="91"/>
    </row>
    <row r="247" spans="1:10" ht="45.75" thickBot="1" x14ac:dyDescent="0.3">
      <c r="A247" s="2" t="s">
        <v>19</v>
      </c>
      <c r="B247" s="6"/>
      <c r="C247" s="8"/>
      <c r="D247" s="6"/>
      <c r="E247" s="6"/>
      <c r="F247" s="6"/>
      <c r="G247" s="94"/>
      <c r="H247" s="95"/>
    </row>
    <row r="248" spans="1:10" ht="45.75" thickBot="1" x14ac:dyDescent="0.3">
      <c r="A248" s="2" t="s">
        <v>20</v>
      </c>
      <c r="B248" s="6">
        <v>0</v>
      </c>
      <c r="C248" s="8"/>
      <c r="D248" s="6"/>
      <c r="E248" s="6">
        <v>5053</v>
      </c>
      <c r="F248" s="6"/>
      <c r="G248" s="90">
        <v>5053</v>
      </c>
      <c r="H248" s="91"/>
    </row>
    <row r="249" spans="1:10" ht="30.75" thickBot="1" x14ac:dyDescent="0.3">
      <c r="A249" s="2" t="s">
        <v>21</v>
      </c>
      <c r="B249" s="6">
        <f>G249*56%</f>
        <v>8370.3200000000015</v>
      </c>
      <c r="C249" s="6"/>
      <c r="D249" s="84">
        <f>G249-B249</f>
        <v>6576.6799999999985</v>
      </c>
      <c r="E249" s="8" t="s">
        <v>8</v>
      </c>
      <c r="F249" s="8" t="s">
        <v>8</v>
      </c>
      <c r="G249" s="90">
        <f>49947-G244</f>
        <v>14947</v>
      </c>
      <c r="H249" s="91"/>
    </row>
    <row r="250" spans="1:10" ht="15.75" thickBot="1" x14ac:dyDescent="0.3">
      <c r="A250" s="3" t="s">
        <v>22</v>
      </c>
      <c r="B250" s="6">
        <f>G250*56%</f>
        <v>343.84000000000003</v>
      </c>
      <c r="C250" s="6"/>
      <c r="D250" s="84">
        <f>G250-B250</f>
        <v>270.15999999999997</v>
      </c>
      <c r="E250" s="8" t="s">
        <v>8</v>
      </c>
      <c r="F250" s="8" t="s">
        <v>8</v>
      </c>
      <c r="G250" s="90">
        <f>614</f>
        <v>614</v>
      </c>
      <c r="H250" s="91"/>
    </row>
    <row r="251" spans="1:10" ht="15.75" thickBot="1" x14ac:dyDescent="0.3">
      <c r="A251" s="3" t="s">
        <v>23</v>
      </c>
      <c r="B251" s="8" t="s">
        <v>8</v>
      </c>
      <c r="C251" s="12"/>
      <c r="D251" s="8" t="s">
        <v>8</v>
      </c>
      <c r="E251" s="8" t="s">
        <v>8</v>
      </c>
      <c r="F251" s="8" t="s">
        <v>8</v>
      </c>
      <c r="G251" s="94"/>
      <c r="H251" s="95"/>
    </row>
    <row r="252" spans="1:10" ht="15.75" thickBot="1" x14ac:dyDescent="0.3">
      <c r="A252" s="3" t="s">
        <v>24</v>
      </c>
      <c r="B252" s="6">
        <f>G252*56%</f>
        <v>0</v>
      </c>
      <c r="C252" s="6"/>
      <c r="D252" s="6"/>
      <c r="E252" s="8" t="s">
        <v>8</v>
      </c>
      <c r="F252" s="8" t="s">
        <v>8</v>
      </c>
      <c r="G252" s="90"/>
      <c r="H252" s="91"/>
      <c r="J252" s="10"/>
    </row>
    <row r="253" spans="1:10" ht="15.75" thickBot="1" x14ac:dyDescent="0.3">
      <c r="A253" s="4" t="s">
        <v>25</v>
      </c>
      <c r="B253" s="6">
        <f>SUM(B237:B252)</f>
        <v>205091.64</v>
      </c>
      <c r="C253" s="6"/>
      <c r="D253" s="6">
        <f>SUM(D237:D252)</f>
        <v>74082.359999999986</v>
      </c>
      <c r="E253" s="6">
        <f>SUM(E237:E252)</f>
        <v>40053</v>
      </c>
      <c r="F253" s="6"/>
      <c r="G253" s="90">
        <f>SUM(G237:H252)</f>
        <v>319227</v>
      </c>
      <c r="H253" s="91"/>
      <c r="J253" s="10"/>
    </row>
    <row r="254" spans="1:10" x14ac:dyDescent="0.25">
      <c r="A254" s="92" t="s">
        <v>26</v>
      </c>
      <c r="B254" s="92"/>
      <c r="C254" s="92"/>
      <c r="D254" s="92"/>
      <c r="E254" s="92"/>
      <c r="F254" s="92"/>
      <c r="G254" s="92"/>
      <c r="H254" s="92"/>
    </row>
    <row r="255" spans="1:10" x14ac:dyDescent="0.25">
      <c r="A255" s="93" t="s">
        <v>27</v>
      </c>
      <c r="B255" s="93"/>
      <c r="C255" s="93"/>
      <c r="D255" s="93"/>
      <c r="E255" s="93"/>
      <c r="F255" s="93"/>
      <c r="G255" s="93"/>
      <c r="H255" s="93"/>
    </row>
    <row r="256" spans="1:10" x14ac:dyDescent="0.25">
      <c r="A256" s="93" t="s">
        <v>28</v>
      </c>
      <c r="B256" s="93"/>
      <c r="C256" s="93"/>
      <c r="D256" s="93"/>
      <c r="E256" s="93"/>
      <c r="F256" s="93"/>
      <c r="G256" s="93"/>
      <c r="H256" s="93"/>
    </row>
    <row r="257" spans="1:8" x14ac:dyDescent="0.25">
      <c r="A257" s="1"/>
      <c r="B257" s="9"/>
      <c r="C257" s="9"/>
      <c r="D257" s="9"/>
      <c r="E257" s="9"/>
      <c r="F257" s="9"/>
      <c r="G257" s="9"/>
      <c r="H257" s="9"/>
    </row>
    <row r="258" spans="1:8" ht="15.75" x14ac:dyDescent="0.25">
      <c r="A258" s="5"/>
    </row>
    <row r="259" spans="1:8" x14ac:dyDescent="0.25">
      <c r="B259" s="13" t="s">
        <v>260</v>
      </c>
      <c r="C259" s="13">
        <v>243146</v>
      </c>
    </row>
    <row r="260" spans="1:8" x14ac:dyDescent="0.25">
      <c r="C260" s="10">
        <f>C259-B253</f>
        <v>38054.359999999986</v>
      </c>
      <c r="D260"/>
      <c r="E260"/>
      <c r="F260"/>
      <c r="G260"/>
      <c r="H260"/>
    </row>
    <row r="261" spans="1:8" x14ac:dyDescent="0.25">
      <c r="D261"/>
      <c r="E261"/>
      <c r="F261"/>
      <c r="G261"/>
      <c r="H261"/>
    </row>
    <row r="262" spans="1:8" x14ac:dyDescent="0.25">
      <c r="D262"/>
      <c r="E262"/>
      <c r="F262"/>
      <c r="G262"/>
      <c r="H262"/>
    </row>
    <row r="263" spans="1:8" x14ac:dyDescent="0.25">
      <c r="D263"/>
      <c r="E263"/>
      <c r="F263"/>
      <c r="G263"/>
      <c r="H263"/>
    </row>
    <row r="264" spans="1:8" x14ac:dyDescent="0.25">
      <c r="D264"/>
      <c r="E264"/>
      <c r="F264"/>
      <c r="G264"/>
      <c r="H264"/>
    </row>
    <row r="265" spans="1:8" x14ac:dyDescent="0.25">
      <c r="A265" s="85"/>
      <c r="B265" s="86"/>
      <c r="C265" s="86"/>
      <c r="D265" s="86"/>
      <c r="E265" s="112" t="s">
        <v>29</v>
      </c>
      <c r="F265" s="112"/>
      <c r="G265" s="112"/>
      <c r="H265" s="112"/>
    </row>
    <row r="266" spans="1:8" x14ac:dyDescent="0.25">
      <c r="A266" s="113"/>
      <c r="B266" s="114"/>
      <c r="C266" s="114"/>
      <c r="D266" s="115"/>
      <c r="E266" s="115" t="s">
        <v>0</v>
      </c>
      <c r="F266" s="115"/>
      <c r="G266" s="115"/>
      <c r="H266" s="115"/>
    </row>
    <row r="267" spans="1:8" x14ac:dyDescent="0.25">
      <c r="A267" s="113"/>
      <c r="B267" s="114"/>
      <c r="C267" s="114"/>
      <c r="D267" s="115"/>
      <c r="E267" s="115" t="s">
        <v>1</v>
      </c>
      <c r="F267" s="115"/>
      <c r="G267" s="115"/>
      <c r="H267" s="115"/>
    </row>
    <row r="268" spans="1:8" ht="15.75" thickBot="1" x14ac:dyDescent="0.3">
      <c r="A268" s="98" t="s">
        <v>261</v>
      </c>
      <c r="B268" s="98"/>
      <c r="C268" s="98"/>
      <c r="D268" s="98"/>
      <c r="E268" s="98"/>
      <c r="F268" s="98"/>
      <c r="G268" s="99"/>
      <c r="H268" s="99"/>
    </row>
    <row r="269" spans="1:8" ht="15.75" thickBot="1" x14ac:dyDescent="0.3">
      <c r="A269" s="100" t="s">
        <v>2</v>
      </c>
      <c r="B269" s="103" t="s">
        <v>30</v>
      </c>
      <c r="C269" s="104"/>
      <c r="D269" s="104"/>
      <c r="E269" s="104"/>
      <c r="F269" s="104"/>
      <c r="G269" s="105" t="s">
        <v>3</v>
      </c>
      <c r="H269" s="106"/>
    </row>
    <row r="270" spans="1:8" ht="105.75" thickBot="1" x14ac:dyDescent="0.3">
      <c r="A270" s="101"/>
      <c r="B270" s="96" t="s">
        <v>30</v>
      </c>
      <c r="C270" s="107"/>
      <c r="D270" s="83" t="s">
        <v>32</v>
      </c>
      <c r="E270" s="107" t="s">
        <v>4</v>
      </c>
      <c r="F270" s="97"/>
      <c r="G270" s="108"/>
      <c r="H270" s="109"/>
    </row>
    <row r="271" spans="1:8" ht="150.75" thickBot="1" x14ac:dyDescent="0.3">
      <c r="A271" s="102"/>
      <c r="B271" s="89" t="s">
        <v>36</v>
      </c>
      <c r="C271" s="89" t="s">
        <v>5</v>
      </c>
      <c r="D271" s="89" t="s">
        <v>33</v>
      </c>
      <c r="E271" s="89" t="s">
        <v>34</v>
      </c>
      <c r="F271" s="89" t="s">
        <v>35</v>
      </c>
      <c r="G271" s="110"/>
      <c r="H271" s="111"/>
    </row>
    <row r="272" spans="1:8" ht="15.75" thickBot="1" x14ac:dyDescent="0.3">
      <c r="A272" s="82">
        <v>1</v>
      </c>
      <c r="B272" s="89">
        <v>2</v>
      </c>
      <c r="C272" s="11">
        <v>3</v>
      </c>
      <c r="D272" s="89">
        <v>4</v>
      </c>
      <c r="E272" s="11">
        <v>5</v>
      </c>
      <c r="F272" s="89">
        <v>6</v>
      </c>
      <c r="G272" s="96" t="s">
        <v>37</v>
      </c>
      <c r="H272" s="97"/>
    </row>
    <row r="273" spans="1:10" ht="60.75" thickBot="1" x14ac:dyDescent="0.3">
      <c r="A273" s="2" t="s">
        <v>7</v>
      </c>
      <c r="B273" s="6">
        <f>B274</f>
        <v>152981.16</v>
      </c>
      <c r="C273" s="12"/>
      <c r="D273" s="6">
        <f>D274</f>
        <v>48309.84</v>
      </c>
      <c r="E273" s="8" t="s">
        <v>8</v>
      </c>
      <c r="F273" s="8" t="s">
        <v>8</v>
      </c>
      <c r="G273" s="90">
        <f>203497-1100-1106</f>
        <v>201291</v>
      </c>
      <c r="H273" s="91"/>
    </row>
    <row r="274" spans="1:10" ht="15.75" thickBot="1" x14ac:dyDescent="0.3">
      <c r="A274" s="3" t="s">
        <v>9</v>
      </c>
      <c r="B274" s="6">
        <f>G274*76%</f>
        <v>152981.16</v>
      </c>
      <c r="C274" s="12"/>
      <c r="D274" s="84">
        <f>G274-B274</f>
        <v>48309.84</v>
      </c>
      <c r="E274" s="8" t="s">
        <v>8</v>
      </c>
      <c r="F274" s="8" t="s">
        <v>8</v>
      </c>
      <c r="G274" s="90">
        <f>G273-G275</f>
        <v>201291</v>
      </c>
      <c r="H274" s="91"/>
      <c r="J274" s="10"/>
    </row>
    <row r="275" spans="1:10" ht="15.75" thickBot="1" x14ac:dyDescent="0.3">
      <c r="A275" s="2" t="s">
        <v>10</v>
      </c>
      <c r="B275" s="6">
        <v>0</v>
      </c>
      <c r="C275" s="12"/>
      <c r="D275" s="6">
        <v>0</v>
      </c>
      <c r="E275" s="8" t="s">
        <v>8</v>
      </c>
      <c r="F275" s="8" t="s">
        <v>8</v>
      </c>
      <c r="G275" s="116"/>
      <c r="H275" s="91"/>
    </row>
    <row r="276" spans="1:10" ht="60.75" thickBot="1" x14ac:dyDescent="0.3">
      <c r="A276" s="2" t="s">
        <v>11</v>
      </c>
      <c r="B276" s="6">
        <f>G276*76%</f>
        <v>49073.96</v>
      </c>
      <c r="C276" s="12"/>
      <c r="D276" s="84">
        <f>G276-B276</f>
        <v>15497.04</v>
      </c>
      <c r="E276" s="8" t="s">
        <v>8</v>
      </c>
      <c r="F276" s="8" t="s">
        <v>8</v>
      </c>
      <c r="G276" s="90">
        <f>65109-538</f>
        <v>64571</v>
      </c>
      <c r="H276" s="91"/>
    </row>
    <row r="277" spans="1:10" ht="30.75" thickBot="1" x14ac:dyDescent="0.3">
      <c r="A277" s="2" t="s">
        <v>12</v>
      </c>
      <c r="B277" s="6">
        <f>G277*76%</f>
        <v>2085.44</v>
      </c>
      <c r="C277" s="12"/>
      <c r="D277" s="84">
        <f>G277-B277</f>
        <v>658.56</v>
      </c>
      <c r="E277" s="8" t="s">
        <v>8</v>
      </c>
      <c r="F277" s="8" t="s">
        <v>8</v>
      </c>
      <c r="G277" s="90">
        <f>1100+1106+538</f>
        <v>2744</v>
      </c>
      <c r="H277" s="91"/>
    </row>
    <row r="278" spans="1:10" ht="15.75" thickBot="1" x14ac:dyDescent="0.3">
      <c r="A278" s="2" t="s">
        <v>13</v>
      </c>
      <c r="B278" s="6">
        <f>G278*56%</f>
        <v>0</v>
      </c>
      <c r="C278" s="6"/>
      <c r="D278" s="84">
        <f>G278-B278</f>
        <v>0</v>
      </c>
      <c r="E278" s="8" t="s">
        <v>8</v>
      </c>
      <c r="F278" s="8" t="s">
        <v>8</v>
      </c>
      <c r="G278" s="90">
        <v>0</v>
      </c>
      <c r="H278" s="91"/>
    </row>
    <row r="279" spans="1:10" ht="30.75" thickBot="1" x14ac:dyDescent="0.3">
      <c r="A279" s="2" t="s">
        <v>14</v>
      </c>
      <c r="B279" s="6">
        <f>G279*56%</f>
        <v>12364.800000000001</v>
      </c>
      <c r="C279" s="6"/>
      <c r="D279" s="84">
        <f>G279-B279</f>
        <v>9715.1999999999989</v>
      </c>
      <c r="E279" s="8" t="s">
        <v>8</v>
      </c>
      <c r="F279" s="8" t="s">
        <v>8</v>
      </c>
      <c r="G279" s="90">
        <f>20418+459+1203</f>
        <v>22080</v>
      </c>
      <c r="H279" s="91"/>
      <c r="J279" s="10"/>
    </row>
    <row r="280" spans="1:10" ht="45.75" thickBot="1" x14ac:dyDescent="0.3">
      <c r="A280" s="2" t="s">
        <v>15</v>
      </c>
      <c r="B280" s="8" t="s">
        <v>8</v>
      </c>
      <c r="C280" s="8" t="s">
        <v>8</v>
      </c>
      <c r="D280" s="6"/>
      <c r="E280" s="8" t="s">
        <v>8</v>
      </c>
      <c r="F280" s="8" t="s">
        <v>8</v>
      </c>
      <c r="G280" s="90"/>
      <c r="H280" s="91"/>
    </row>
    <row r="281" spans="1:10" ht="15.75" thickBot="1" x14ac:dyDescent="0.3">
      <c r="A281" s="2" t="s">
        <v>16</v>
      </c>
      <c r="B281" s="78" t="s">
        <v>8</v>
      </c>
      <c r="C281" s="8" t="s">
        <v>8</v>
      </c>
      <c r="D281" s="12"/>
      <c r="E281" s="6">
        <f>G281</f>
        <v>40000</v>
      </c>
      <c r="F281" s="6"/>
      <c r="G281" s="90">
        <v>40000</v>
      </c>
      <c r="H281" s="91"/>
    </row>
    <row r="282" spans="1:10" ht="15.75" thickBot="1" x14ac:dyDescent="0.3">
      <c r="A282" s="3" t="s">
        <v>17</v>
      </c>
      <c r="B282" s="6">
        <f>G282*56%</f>
        <v>0</v>
      </c>
      <c r="C282" s="8"/>
      <c r="D282" s="6"/>
      <c r="E282" s="6">
        <f>G282-B282</f>
        <v>0</v>
      </c>
      <c r="F282" s="6"/>
      <c r="G282" s="90">
        <v>0</v>
      </c>
      <c r="H282" s="91"/>
    </row>
    <row r="283" spans="1:10" ht="15.75" thickBot="1" x14ac:dyDescent="0.3">
      <c r="A283" s="3" t="s">
        <v>18</v>
      </c>
      <c r="B283" s="6"/>
      <c r="C283" s="8"/>
      <c r="D283" s="8"/>
      <c r="E283" s="6"/>
      <c r="F283" s="6"/>
      <c r="G283" s="90"/>
      <c r="H283" s="91"/>
    </row>
    <row r="284" spans="1:10" ht="45.75" thickBot="1" x14ac:dyDescent="0.3">
      <c r="A284" s="2" t="s">
        <v>19</v>
      </c>
      <c r="B284" s="6"/>
      <c r="C284" s="8"/>
      <c r="D284" s="6"/>
      <c r="E284" s="6"/>
      <c r="F284" s="6"/>
      <c r="G284" s="94"/>
      <c r="H284" s="95"/>
    </row>
    <row r="285" spans="1:10" ht="45.75" thickBot="1" x14ac:dyDescent="0.3">
      <c r="A285" s="2" t="s">
        <v>20</v>
      </c>
      <c r="B285" s="78" t="s">
        <v>8</v>
      </c>
      <c r="C285" s="8"/>
      <c r="D285" s="6"/>
      <c r="E285" s="6">
        <v>5775</v>
      </c>
      <c r="F285" s="6"/>
      <c r="G285" s="90">
        <v>5775</v>
      </c>
      <c r="H285" s="91"/>
    </row>
    <row r="286" spans="1:10" ht="30.75" thickBot="1" x14ac:dyDescent="0.3">
      <c r="A286" s="2" t="s">
        <v>21</v>
      </c>
      <c r="B286" s="6">
        <f>G286*56%</f>
        <v>9973.0400000000009</v>
      </c>
      <c r="C286" s="6"/>
      <c r="D286" s="84">
        <f>G286-B286</f>
        <v>7835.9599999999991</v>
      </c>
      <c r="E286" s="8" t="s">
        <v>8</v>
      </c>
      <c r="F286" s="8" t="s">
        <v>8</v>
      </c>
      <c r="G286" s="90">
        <f>57739-G281-G282+70</f>
        <v>17809</v>
      </c>
      <c r="H286" s="91"/>
    </row>
    <row r="287" spans="1:10" ht="15.75" thickBot="1" x14ac:dyDescent="0.3">
      <c r="A287" s="3" t="s">
        <v>22</v>
      </c>
      <c r="B287" s="6">
        <f>G287*56%</f>
        <v>365.12000000000006</v>
      </c>
      <c r="C287" s="6"/>
      <c r="D287" s="84">
        <f>G287-B287</f>
        <v>286.87999999999994</v>
      </c>
      <c r="E287" s="8" t="s">
        <v>8</v>
      </c>
      <c r="F287" s="8" t="s">
        <v>8</v>
      </c>
      <c r="G287" s="90">
        <f>652</f>
        <v>652</v>
      </c>
      <c r="H287" s="91"/>
    </row>
    <row r="288" spans="1:10" ht="15.75" thickBot="1" x14ac:dyDescent="0.3">
      <c r="A288" s="3" t="s">
        <v>23</v>
      </c>
      <c r="B288" s="8" t="s">
        <v>8</v>
      </c>
      <c r="C288" s="12"/>
      <c r="D288" s="8" t="s">
        <v>8</v>
      </c>
      <c r="E288" s="8" t="s">
        <v>8</v>
      </c>
      <c r="F288" s="8" t="s">
        <v>8</v>
      </c>
      <c r="G288" s="94"/>
      <c r="H288" s="95"/>
    </row>
    <row r="289" spans="1:10" ht="15.75" thickBot="1" x14ac:dyDescent="0.3">
      <c r="A289" s="3" t="s">
        <v>24</v>
      </c>
      <c r="B289" s="6">
        <f>G289*56%</f>
        <v>0</v>
      </c>
      <c r="C289" s="6"/>
      <c r="D289" s="6"/>
      <c r="E289" s="8" t="s">
        <v>8</v>
      </c>
      <c r="F289" s="8" t="s">
        <v>8</v>
      </c>
      <c r="G289" s="90"/>
      <c r="H289" s="91"/>
      <c r="J289" s="10"/>
    </row>
    <row r="290" spans="1:10" ht="15.75" thickBot="1" x14ac:dyDescent="0.3">
      <c r="A290" s="4" t="s">
        <v>25</v>
      </c>
      <c r="B290" s="6">
        <f>SUM(B274:B289)</f>
        <v>226843.51999999999</v>
      </c>
      <c r="C290" s="6"/>
      <c r="D290" s="6">
        <f>SUM(D274:D289)</f>
        <v>82303.48000000001</v>
      </c>
      <c r="E290" s="6">
        <f>SUM(E274:E289)</f>
        <v>45775</v>
      </c>
      <c r="F290" s="6"/>
      <c r="G290" s="90">
        <f>SUM(G274:H289)</f>
        <v>354922</v>
      </c>
      <c r="H290" s="91"/>
      <c r="J290" s="10"/>
    </row>
    <row r="291" spans="1:10" x14ac:dyDescent="0.25">
      <c r="A291" s="92" t="s">
        <v>26</v>
      </c>
      <c r="B291" s="92"/>
      <c r="C291" s="92"/>
      <c r="D291" s="92"/>
      <c r="E291" s="92"/>
      <c r="F291" s="92"/>
      <c r="G291" s="92"/>
      <c r="H291" s="92"/>
    </row>
    <row r="292" spans="1:10" x14ac:dyDescent="0.25">
      <c r="A292" s="93" t="s">
        <v>27</v>
      </c>
      <c r="B292" s="93"/>
      <c r="C292" s="93"/>
      <c r="D292" s="93"/>
      <c r="E292" s="93"/>
      <c r="F292" s="93"/>
      <c r="G292" s="93"/>
      <c r="H292" s="93"/>
    </row>
    <row r="293" spans="1:10" x14ac:dyDescent="0.25">
      <c r="A293" s="93" t="s">
        <v>28</v>
      </c>
      <c r="B293" s="93"/>
      <c r="C293" s="93"/>
      <c r="D293" s="93"/>
      <c r="E293" s="93"/>
      <c r="F293" s="93"/>
      <c r="G293" s="93"/>
      <c r="H293" s="93"/>
    </row>
    <row r="294" spans="1:10" x14ac:dyDescent="0.25">
      <c r="A294" s="1"/>
      <c r="B294" s="9"/>
      <c r="C294" s="9"/>
      <c r="D294" s="9"/>
      <c r="E294" s="9"/>
      <c r="F294" s="9"/>
      <c r="G294" s="9"/>
      <c r="H294" s="9"/>
    </row>
    <row r="295" spans="1:10" ht="15.75" x14ac:dyDescent="0.25">
      <c r="A295" s="5"/>
    </row>
    <row r="296" spans="1:10" x14ac:dyDescent="0.25">
      <c r="B296" s="13" t="s">
        <v>262</v>
      </c>
      <c r="C296" s="13">
        <v>269432</v>
      </c>
    </row>
    <row r="297" spans="1:10" x14ac:dyDescent="0.25">
      <c r="C297" s="10">
        <f>C296-B290</f>
        <v>42588.48000000001</v>
      </c>
      <c r="D297"/>
      <c r="E297"/>
      <c r="F297"/>
      <c r="G297"/>
      <c r="H297"/>
    </row>
    <row r="298" spans="1:10" x14ac:dyDescent="0.25">
      <c r="D298"/>
      <c r="E298"/>
      <c r="F298"/>
      <c r="G298"/>
      <c r="H298"/>
    </row>
    <row r="299" spans="1:10" x14ac:dyDescent="0.25">
      <c r="A299" s="85"/>
      <c r="B299" s="86"/>
      <c r="C299" s="86"/>
      <c r="D299" s="86"/>
      <c r="E299" s="112" t="s">
        <v>29</v>
      </c>
      <c r="F299" s="112"/>
      <c r="G299" s="112"/>
      <c r="H299" s="112"/>
    </row>
    <row r="300" spans="1:10" x14ac:dyDescent="0.25">
      <c r="A300" s="113"/>
      <c r="B300" s="114"/>
      <c r="C300" s="114"/>
      <c r="D300" s="115"/>
      <c r="E300" s="115" t="s">
        <v>0</v>
      </c>
      <c r="F300" s="115"/>
      <c r="G300" s="115"/>
      <c r="H300" s="115"/>
    </row>
    <row r="301" spans="1:10" x14ac:dyDescent="0.25">
      <c r="A301" s="113"/>
      <c r="B301" s="114"/>
      <c r="C301" s="114"/>
      <c r="D301" s="115"/>
      <c r="E301" s="115" t="s">
        <v>1</v>
      </c>
      <c r="F301" s="115"/>
      <c r="G301" s="115"/>
      <c r="H301" s="115"/>
    </row>
    <row r="302" spans="1:10" ht="15.75" thickBot="1" x14ac:dyDescent="0.3">
      <c r="A302" s="98" t="s">
        <v>263</v>
      </c>
      <c r="B302" s="98"/>
      <c r="C302" s="98"/>
      <c r="D302" s="98"/>
      <c r="E302" s="98"/>
      <c r="F302" s="98"/>
      <c r="G302" s="99"/>
      <c r="H302" s="99"/>
    </row>
    <row r="303" spans="1:10" ht="15.75" thickBot="1" x14ac:dyDescent="0.3">
      <c r="A303" s="100" t="s">
        <v>2</v>
      </c>
      <c r="B303" s="103" t="s">
        <v>30</v>
      </c>
      <c r="C303" s="104"/>
      <c r="D303" s="104"/>
      <c r="E303" s="104"/>
      <c r="F303" s="104"/>
      <c r="G303" s="105" t="s">
        <v>3</v>
      </c>
      <c r="H303" s="106"/>
    </row>
    <row r="304" spans="1:10" ht="105.75" thickBot="1" x14ac:dyDescent="0.3">
      <c r="A304" s="101"/>
      <c r="B304" s="96" t="s">
        <v>30</v>
      </c>
      <c r="C304" s="107"/>
      <c r="D304" s="83" t="s">
        <v>32</v>
      </c>
      <c r="E304" s="107" t="s">
        <v>4</v>
      </c>
      <c r="F304" s="97"/>
      <c r="G304" s="108"/>
      <c r="H304" s="109"/>
    </row>
    <row r="305" spans="1:10" ht="150.75" thickBot="1" x14ac:dyDescent="0.3">
      <c r="A305" s="102"/>
      <c r="B305" s="89" t="s">
        <v>36</v>
      </c>
      <c r="C305" s="89" t="s">
        <v>5</v>
      </c>
      <c r="D305" s="89" t="s">
        <v>33</v>
      </c>
      <c r="E305" s="89" t="s">
        <v>34</v>
      </c>
      <c r="F305" s="89" t="s">
        <v>35</v>
      </c>
      <c r="G305" s="110"/>
      <c r="H305" s="111"/>
    </row>
    <row r="306" spans="1:10" ht="15.75" thickBot="1" x14ac:dyDescent="0.3">
      <c r="A306" s="82">
        <v>1</v>
      </c>
      <c r="B306" s="89">
        <v>2</v>
      </c>
      <c r="C306" s="11">
        <v>3</v>
      </c>
      <c r="D306" s="89">
        <v>4</v>
      </c>
      <c r="E306" s="11">
        <v>5</v>
      </c>
      <c r="F306" s="89">
        <v>6</v>
      </c>
      <c r="G306" s="96" t="s">
        <v>37</v>
      </c>
      <c r="H306" s="97"/>
    </row>
    <row r="307" spans="1:10" ht="60.75" thickBot="1" x14ac:dyDescent="0.3">
      <c r="A307" s="2" t="s">
        <v>7</v>
      </c>
      <c r="B307" s="6">
        <f>B308</f>
        <v>177203.12</v>
      </c>
      <c r="C307" s="12"/>
      <c r="D307" s="6">
        <f>D308</f>
        <v>55958.880000000005</v>
      </c>
      <c r="E307" s="8" t="s">
        <v>8</v>
      </c>
      <c r="F307" s="8" t="s">
        <v>8</v>
      </c>
      <c r="G307" s="90">
        <f>235604-1100-1342</f>
        <v>233162</v>
      </c>
      <c r="H307" s="91"/>
    </row>
    <row r="308" spans="1:10" ht="15.75" thickBot="1" x14ac:dyDescent="0.3">
      <c r="A308" s="3" t="s">
        <v>9</v>
      </c>
      <c r="B308" s="6">
        <f>G308*76%</f>
        <v>177203.12</v>
      </c>
      <c r="C308" s="12"/>
      <c r="D308" s="84">
        <f>G308-B308</f>
        <v>55958.880000000005</v>
      </c>
      <c r="E308" s="8" t="s">
        <v>8</v>
      </c>
      <c r="F308" s="8" t="s">
        <v>8</v>
      </c>
      <c r="G308" s="90">
        <f>G307-G309</f>
        <v>233162</v>
      </c>
      <c r="H308" s="91"/>
    </row>
    <row r="309" spans="1:10" ht="15.75" thickBot="1" x14ac:dyDescent="0.3">
      <c r="A309" s="2" t="s">
        <v>10</v>
      </c>
      <c r="B309" s="6">
        <v>0</v>
      </c>
      <c r="C309" s="12"/>
      <c r="D309" s="6">
        <v>0</v>
      </c>
      <c r="E309" s="8" t="s">
        <v>8</v>
      </c>
      <c r="F309" s="8" t="s">
        <v>8</v>
      </c>
      <c r="G309" s="116"/>
      <c r="H309" s="91"/>
    </row>
    <row r="310" spans="1:10" ht="60.75" thickBot="1" x14ac:dyDescent="0.3">
      <c r="A310" s="2" t="s">
        <v>11</v>
      </c>
      <c r="B310" s="6">
        <f>G310*76%</f>
        <v>56540.959999999999</v>
      </c>
      <c r="C310" s="12"/>
      <c r="D310" s="84">
        <f>G310-B310</f>
        <v>17855.04</v>
      </c>
      <c r="E310" s="8" t="s">
        <v>8</v>
      </c>
      <c r="F310" s="8" t="s">
        <v>8</v>
      </c>
      <c r="G310" s="90">
        <f>74991-595</f>
        <v>74396</v>
      </c>
      <c r="H310" s="91"/>
    </row>
    <row r="311" spans="1:10" ht="30.75" thickBot="1" x14ac:dyDescent="0.3">
      <c r="A311" s="2" t="s">
        <v>12</v>
      </c>
      <c r="B311" s="6">
        <f>G311*76%</f>
        <v>2308.12</v>
      </c>
      <c r="C311" s="12"/>
      <c r="D311" s="84">
        <f>G311-B311</f>
        <v>728.88000000000011</v>
      </c>
      <c r="E311" s="8" t="s">
        <v>8</v>
      </c>
      <c r="F311" s="8" t="s">
        <v>8</v>
      </c>
      <c r="G311" s="90">
        <f>1100+1342+595</f>
        <v>3037</v>
      </c>
      <c r="H311" s="91"/>
    </row>
    <row r="312" spans="1:10" ht="15.75" thickBot="1" x14ac:dyDescent="0.3">
      <c r="A312" s="2" t="s">
        <v>13</v>
      </c>
      <c r="B312" s="6">
        <f>G312*56%</f>
        <v>0</v>
      </c>
      <c r="C312" s="6"/>
      <c r="D312" s="84">
        <f>G312-B312</f>
        <v>0</v>
      </c>
      <c r="E312" s="8" t="s">
        <v>8</v>
      </c>
      <c r="F312" s="8" t="s">
        <v>8</v>
      </c>
      <c r="G312" s="90">
        <v>0</v>
      </c>
      <c r="H312" s="91"/>
    </row>
    <row r="313" spans="1:10" ht="30.75" thickBot="1" x14ac:dyDescent="0.3">
      <c r="A313" s="2" t="s">
        <v>14</v>
      </c>
      <c r="B313" s="6">
        <f>G313*56%</f>
        <v>16245.04</v>
      </c>
      <c r="C313" s="6"/>
      <c r="D313" s="84">
        <f>G313-B313</f>
        <v>12763.96</v>
      </c>
      <c r="E313" s="8" t="s">
        <v>8</v>
      </c>
      <c r="F313" s="8" t="s">
        <v>8</v>
      </c>
      <c r="G313" s="90">
        <f>27347+459+1203</f>
        <v>29009</v>
      </c>
      <c r="H313" s="91"/>
      <c r="J313" s="10">
        <f>G311+G310+G308</f>
        <v>310595</v>
      </c>
    </row>
    <row r="314" spans="1:10" ht="45.75" thickBot="1" x14ac:dyDescent="0.3">
      <c r="A314" s="2" t="s">
        <v>15</v>
      </c>
      <c r="B314" s="8" t="s">
        <v>8</v>
      </c>
      <c r="C314" s="8" t="s">
        <v>8</v>
      </c>
      <c r="D314" s="6"/>
      <c r="E314" s="8" t="s">
        <v>8</v>
      </c>
      <c r="F314" s="8" t="s">
        <v>8</v>
      </c>
      <c r="G314" s="90"/>
      <c r="H314" s="91"/>
    </row>
    <row r="315" spans="1:10" ht="15.75" thickBot="1" x14ac:dyDescent="0.3">
      <c r="A315" s="2" t="s">
        <v>16</v>
      </c>
      <c r="B315" s="8" t="s">
        <v>8</v>
      </c>
      <c r="C315" s="8" t="s">
        <v>8</v>
      </c>
      <c r="D315" s="12"/>
      <c r="E315" s="6">
        <f>G315</f>
        <v>45000</v>
      </c>
      <c r="F315" s="6"/>
      <c r="G315" s="90">
        <v>45000</v>
      </c>
      <c r="H315" s="91"/>
    </row>
    <row r="316" spans="1:10" ht="15.75" thickBot="1" x14ac:dyDescent="0.3">
      <c r="A316" s="3" t="s">
        <v>17</v>
      </c>
      <c r="B316" s="6">
        <f>G316*56%</f>
        <v>0</v>
      </c>
      <c r="C316" s="8"/>
      <c r="D316" s="6"/>
      <c r="E316" s="6">
        <f>G316-B316</f>
        <v>0</v>
      </c>
      <c r="F316" s="6"/>
      <c r="G316" s="90">
        <v>0</v>
      </c>
      <c r="H316" s="91"/>
    </row>
    <row r="317" spans="1:10" ht="15.75" thickBot="1" x14ac:dyDescent="0.3">
      <c r="A317" s="3" t="s">
        <v>18</v>
      </c>
      <c r="B317" s="6"/>
      <c r="C317" s="8"/>
      <c r="D317" s="8"/>
      <c r="E317" s="6"/>
      <c r="F317" s="6"/>
      <c r="G317" s="90"/>
      <c r="H317" s="91"/>
    </row>
    <row r="318" spans="1:10" ht="45.75" thickBot="1" x14ac:dyDescent="0.3">
      <c r="A318" s="2" t="s">
        <v>19</v>
      </c>
      <c r="B318" s="6"/>
      <c r="C318" s="8"/>
      <c r="D318" s="6"/>
      <c r="E318" s="6"/>
      <c r="F318" s="6"/>
      <c r="G318" s="94"/>
      <c r="H318" s="95"/>
    </row>
    <row r="319" spans="1:10" ht="45.75" thickBot="1" x14ac:dyDescent="0.3">
      <c r="A319" s="2" t="s">
        <v>20</v>
      </c>
      <c r="B319" s="6"/>
      <c r="C319" s="8"/>
      <c r="D319" s="6"/>
      <c r="E319" s="6">
        <v>6461</v>
      </c>
      <c r="F319" s="6"/>
      <c r="G319" s="90">
        <v>6461</v>
      </c>
      <c r="H319" s="91"/>
    </row>
    <row r="320" spans="1:10" ht="30.75" thickBot="1" x14ac:dyDescent="0.3">
      <c r="A320" s="2" t="s">
        <v>21</v>
      </c>
      <c r="B320" s="6">
        <f>G320*56%</f>
        <v>10467.52</v>
      </c>
      <c r="C320" s="6"/>
      <c r="D320" s="84">
        <f>G320-B320</f>
        <v>8224.48</v>
      </c>
      <c r="E320" s="8" t="s">
        <v>8</v>
      </c>
      <c r="F320" s="8" t="s">
        <v>8</v>
      </c>
      <c r="G320" s="90">
        <f>63622-G315-G316+70</f>
        <v>18692</v>
      </c>
      <c r="H320" s="91"/>
    </row>
    <row r="321" spans="1:10" ht="15.75" thickBot="1" x14ac:dyDescent="0.3">
      <c r="A321" s="3" t="s">
        <v>22</v>
      </c>
      <c r="B321" s="6">
        <f>G321*56%</f>
        <v>385.84000000000003</v>
      </c>
      <c r="C321" s="6"/>
      <c r="D321" s="84">
        <f>G321-B321</f>
        <v>303.15999999999997</v>
      </c>
      <c r="E321" s="8" t="s">
        <v>8</v>
      </c>
      <c r="F321" s="8" t="s">
        <v>8</v>
      </c>
      <c r="G321" s="90">
        <v>689</v>
      </c>
      <c r="H321" s="91"/>
    </row>
    <row r="322" spans="1:10" ht="15.75" thickBot="1" x14ac:dyDescent="0.3">
      <c r="A322" s="3" t="s">
        <v>23</v>
      </c>
      <c r="B322" s="8" t="s">
        <v>8</v>
      </c>
      <c r="C322" s="12"/>
      <c r="D322" s="8" t="s">
        <v>8</v>
      </c>
      <c r="E322" s="8" t="s">
        <v>8</v>
      </c>
      <c r="F322" s="8" t="s">
        <v>8</v>
      </c>
      <c r="G322" s="94"/>
      <c r="H322" s="95"/>
    </row>
    <row r="323" spans="1:10" ht="15.75" thickBot="1" x14ac:dyDescent="0.3">
      <c r="A323" s="3" t="s">
        <v>24</v>
      </c>
      <c r="B323" s="6">
        <f>G323*56%</f>
        <v>0</v>
      </c>
      <c r="C323" s="6"/>
      <c r="D323" s="6"/>
      <c r="E323" s="8" t="s">
        <v>8</v>
      </c>
      <c r="F323" s="8" t="s">
        <v>8</v>
      </c>
      <c r="G323" s="90"/>
      <c r="H323" s="91"/>
      <c r="J323" s="10"/>
    </row>
    <row r="324" spans="1:10" ht="15.75" thickBot="1" x14ac:dyDescent="0.3">
      <c r="A324" s="4" t="s">
        <v>25</v>
      </c>
      <c r="B324" s="6">
        <f>SUM(B308:B323)</f>
        <v>263150.60000000003</v>
      </c>
      <c r="C324" s="6"/>
      <c r="D324" s="6">
        <f>SUM(D308:D323)</f>
        <v>95834.400000000009</v>
      </c>
      <c r="E324" s="6">
        <f>SUM(E308:E323)</f>
        <v>51461</v>
      </c>
      <c r="F324" s="6"/>
      <c r="G324" s="90">
        <f>SUM(G308:H323)</f>
        <v>410446</v>
      </c>
      <c r="H324" s="91"/>
      <c r="J324" s="10"/>
    </row>
    <row r="325" spans="1:10" x14ac:dyDescent="0.25">
      <c r="A325" s="92" t="s">
        <v>26</v>
      </c>
      <c r="B325" s="92"/>
      <c r="C325" s="92"/>
      <c r="D325" s="92"/>
      <c r="E325" s="92"/>
      <c r="F325" s="92"/>
      <c r="G325" s="92"/>
      <c r="H325" s="92"/>
    </row>
    <row r="326" spans="1:10" x14ac:dyDescent="0.25">
      <c r="A326" s="93" t="s">
        <v>27</v>
      </c>
      <c r="B326" s="93"/>
      <c r="C326" s="93"/>
      <c r="D326" s="93"/>
      <c r="E326" s="93"/>
      <c r="F326" s="93"/>
      <c r="G326" s="93"/>
      <c r="H326" s="93"/>
    </row>
    <row r="327" spans="1:10" x14ac:dyDescent="0.25">
      <c r="A327" s="93" t="s">
        <v>28</v>
      </c>
      <c r="B327" s="93"/>
      <c r="C327" s="93"/>
      <c r="D327" s="93"/>
      <c r="E327" s="93"/>
      <c r="F327" s="93"/>
      <c r="G327" s="93"/>
      <c r="H327" s="93"/>
    </row>
    <row r="328" spans="1:10" x14ac:dyDescent="0.25">
      <c r="A328" s="1"/>
      <c r="B328" s="9"/>
      <c r="C328" s="9"/>
      <c r="D328" s="9"/>
      <c r="E328" s="9"/>
      <c r="F328" s="9"/>
      <c r="G328" s="9"/>
      <c r="H328" s="9"/>
    </row>
    <row r="329" spans="1:10" ht="15.75" x14ac:dyDescent="0.25">
      <c r="A329" s="5"/>
    </row>
    <row r="330" spans="1:10" x14ac:dyDescent="0.25">
      <c r="B330" s="13" t="s">
        <v>264</v>
      </c>
      <c r="C330" s="13">
        <v>295718</v>
      </c>
    </row>
    <row r="331" spans="1:10" x14ac:dyDescent="0.25">
      <c r="C331" s="10">
        <f>C330-B324</f>
        <v>32567.399999999965</v>
      </c>
      <c r="D331"/>
      <c r="E331"/>
      <c r="F331"/>
      <c r="G331"/>
      <c r="H331"/>
    </row>
    <row r="332" spans="1:10" x14ac:dyDescent="0.25">
      <c r="D332"/>
      <c r="E332"/>
      <c r="F332"/>
      <c r="G332"/>
      <c r="H332"/>
    </row>
    <row r="333" spans="1:10" x14ac:dyDescent="0.25">
      <c r="D333"/>
      <c r="E333"/>
      <c r="F333"/>
      <c r="G333"/>
      <c r="H333"/>
    </row>
    <row r="334" spans="1:10" x14ac:dyDescent="0.25">
      <c r="D334"/>
      <c r="E334"/>
      <c r="F334"/>
      <c r="G334"/>
      <c r="H334"/>
    </row>
    <row r="335" spans="1:10" x14ac:dyDescent="0.25">
      <c r="D335"/>
      <c r="E335"/>
      <c r="F335"/>
      <c r="G335"/>
      <c r="H335"/>
    </row>
    <row r="336" spans="1:10" x14ac:dyDescent="0.25">
      <c r="D336"/>
      <c r="E336"/>
      <c r="F336"/>
      <c r="G336"/>
      <c r="H336"/>
    </row>
    <row r="337" spans="1:11" x14ac:dyDescent="0.25">
      <c r="A337" s="85"/>
      <c r="B337" s="86"/>
      <c r="C337" s="86"/>
      <c r="D337" s="86"/>
      <c r="E337" s="112" t="s">
        <v>29</v>
      </c>
      <c r="F337" s="112"/>
      <c r="G337" s="112"/>
      <c r="H337" s="112"/>
    </row>
    <row r="338" spans="1:11" x14ac:dyDescent="0.25">
      <c r="A338" s="113"/>
      <c r="B338" s="114"/>
      <c r="C338" s="114"/>
      <c r="D338" s="115"/>
      <c r="E338" s="115" t="s">
        <v>0</v>
      </c>
      <c r="F338" s="115"/>
      <c r="G338" s="115"/>
      <c r="H338" s="115"/>
    </row>
    <row r="339" spans="1:11" x14ac:dyDescent="0.25">
      <c r="A339" s="113"/>
      <c r="B339" s="114"/>
      <c r="C339" s="114"/>
      <c r="D339" s="115"/>
      <c r="E339" s="115" t="s">
        <v>1</v>
      </c>
      <c r="F339" s="115"/>
      <c r="G339" s="115"/>
      <c r="H339" s="115"/>
    </row>
    <row r="340" spans="1:11" ht="15.75" thickBot="1" x14ac:dyDescent="0.3">
      <c r="A340" s="98" t="s">
        <v>265</v>
      </c>
      <c r="B340" s="98"/>
      <c r="C340" s="98"/>
      <c r="D340" s="98"/>
      <c r="E340" s="98"/>
      <c r="F340" s="98"/>
      <c r="G340" s="99"/>
      <c r="H340" s="99"/>
    </row>
    <row r="341" spans="1:11" ht="15.75" thickBot="1" x14ac:dyDescent="0.3">
      <c r="A341" s="100" t="s">
        <v>2</v>
      </c>
      <c r="B341" s="103" t="s">
        <v>30</v>
      </c>
      <c r="C341" s="104"/>
      <c r="D341" s="104"/>
      <c r="E341" s="104"/>
      <c r="F341" s="104"/>
      <c r="G341" s="105" t="s">
        <v>3</v>
      </c>
      <c r="H341" s="106"/>
    </row>
    <row r="342" spans="1:11" ht="105.75" thickBot="1" x14ac:dyDescent="0.3">
      <c r="A342" s="101"/>
      <c r="B342" s="96" t="s">
        <v>30</v>
      </c>
      <c r="C342" s="107"/>
      <c r="D342" s="83" t="s">
        <v>32</v>
      </c>
      <c r="E342" s="107" t="s">
        <v>4</v>
      </c>
      <c r="F342" s="97"/>
      <c r="G342" s="108"/>
      <c r="H342" s="109"/>
    </row>
    <row r="343" spans="1:11" ht="150.75" thickBot="1" x14ac:dyDescent="0.3">
      <c r="A343" s="102"/>
      <c r="B343" s="89" t="s">
        <v>36</v>
      </c>
      <c r="C343" s="89" t="s">
        <v>5</v>
      </c>
      <c r="D343" s="89" t="s">
        <v>33</v>
      </c>
      <c r="E343" s="89" t="s">
        <v>34</v>
      </c>
      <c r="F343" s="89" t="s">
        <v>35</v>
      </c>
      <c r="G343" s="110"/>
      <c r="H343" s="111"/>
    </row>
    <row r="344" spans="1:11" ht="15.75" thickBot="1" x14ac:dyDescent="0.3">
      <c r="A344" s="82">
        <v>1</v>
      </c>
      <c r="B344" s="89">
        <v>2</v>
      </c>
      <c r="C344" s="11">
        <v>3</v>
      </c>
      <c r="D344" s="89">
        <v>4</v>
      </c>
      <c r="E344" s="11">
        <v>5</v>
      </c>
      <c r="F344" s="89">
        <v>6</v>
      </c>
      <c r="G344" s="96" t="s">
        <v>37</v>
      </c>
      <c r="H344" s="97"/>
    </row>
    <row r="345" spans="1:11" ht="60.75" thickBot="1" x14ac:dyDescent="0.3">
      <c r="A345" s="2" t="s">
        <v>7</v>
      </c>
      <c r="B345" s="6">
        <f>B346</f>
        <v>202659.32</v>
      </c>
      <c r="C345" s="12"/>
      <c r="D345" s="6">
        <f>D346</f>
        <v>63997.679999999993</v>
      </c>
      <c r="E345" s="8" t="s">
        <v>8</v>
      </c>
      <c r="F345" s="8" t="s">
        <v>8</v>
      </c>
      <c r="G345" s="90">
        <f>269345-1100-1588</f>
        <v>266657</v>
      </c>
      <c r="H345" s="91"/>
    </row>
    <row r="346" spans="1:11" ht="15.75" thickBot="1" x14ac:dyDescent="0.3">
      <c r="A346" s="3" t="s">
        <v>9</v>
      </c>
      <c r="B346" s="6">
        <f>G346*76%</f>
        <v>202659.32</v>
      </c>
      <c r="C346" s="12"/>
      <c r="D346" s="84">
        <f>G346-B346</f>
        <v>63997.679999999993</v>
      </c>
      <c r="E346" s="8" t="s">
        <v>8</v>
      </c>
      <c r="F346" s="8" t="s">
        <v>8</v>
      </c>
      <c r="G346" s="90">
        <f>G345-G347</f>
        <v>266657</v>
      </c>
      <c r="H346" s="91"/>
    </row>
    <row r="347" spans="1:11" ht="15.75" thickBot="1" x14ac:dyDescent="0.3">
      <c r="A347" s="2" t="s">
        <v>10</v>
      </c>
      <c r="B347" s="6">
        <v>0</v>
      </c>
      <c r="C347" s="12"/>
      <c r="D347" s="6">
        <v>0</v>
      </c>
      <c r="E347" s="8" t="s">
        <v>8</v>
      </c>
      <c r="F347" s="8" t="s">
        <v>8</v>
      </c>
      <c r="G347" s="116"/>
      <c r="H347" s="91"/>
    </row>
    <row r="348" spans="1:11" ht="60.75" thickBot="1" x14ac:dyDescent="0.3">
      <c r="A348" s="2" t="s">
        <v>11</v>
      </c>
      <c r="B348" s="6">
        <f>G348*76%</f>
        <v>63920.56</v>
      </c>
      <c r="C348" s="12"/>
      <c r="D348" s="84">
        <f>G348-B348</f>
        <v>20185.440000000002</v>
      </c>
      <c r="E348" s="8" t="s">
        <v>8</v>
      </c>
      <c r="F348" s="8" t="s">
        <v>8</v>
      </c>
      <c r="G348" s="90">
        <f>84753-647</f>
        <v>84106</v>
      </c>
      <c r="H348" s="91"/>
    </row>
    <row r="349" spans="1:11" ht="30.75" thickBot="1" x14ac:dyDescent="0.3">
      <c r="A349" s="2" t="s">
        <v>12</v>
      </c>
      <c r="B349" s="6">
        <f>G349*76%</f>
        <v>2534.6</v>
      </c>
      <c r="C349" s="12"/>
      <c r="D349" s="84">
        <f>G349-B349</f>
        <v>800.40000000000009</v>
      </c>
      <c r="E349" s="8" t="s">
        <v>8</v>
      </c>
      <c r="F349" s="8" t="s">
        <v>8</v>
      </c>
      <c r="G349" s="90">
        <f>647+1100+1588</f>
        <v>3335</v>
      </c>
      <c r="H349" s="91"/>
    </row>
    <row r="350" spans="1:11" ht="15.75" thickBot="1" x14ac:dyDescent="0.3">
      <c r="A350" s="2" t="s">
        <v>13</v>
      </c>
      <c r="B350" s="6">
        <f>G350*56%</f>
        <v>0</v>
      </c>
      <c r="C350" s="6"/>
      <c r="D350" s="84">
        <f>G350-B350</f>
        <v>0</v>
      </c>
      <c r="E350" s="8" t="s">
        <v>8</v>
      </c>
      <c r="F350" s="8" t="s">
        <v>8</v>
      </c>
      <c r="G350" s="90">
        <v>0</v>
      </c>
      <c r="H350" s="91"/>
    </row>
    <row r="351" spans="1:11" ht="30.75" thickBot="1" x14ac:dyDescent="0.3">
      <c r="A351" s="2" t="s">
        <v>14</v>
      </c>
      <c r="B351" s="6">
        <f>G351*56%</f>
        <v>16774.800000000003</v>
      </c>
      <c r="C351" s="6"/>
      <c r="D351" s="84">
        <f>G351-B351</f>
        <v>13180.199999999997</v>
      </c>
      <c r="E351" s="8" t="s">
        <v>8</v>
      </c>
      <c r="F351" s="8" t="s">
        <v>8</v>
      </c>
      <c r="G351" s="90">
        <f>28293+459+1203</f>
        <v>29955</v>
      </c>
      <c r="H351" s="91"/>
      <c r="J351" s="10"/>
      <c r="K351" s="10"/>
    </row>
    <row r="352" spans="1:11" ht="45.75" thickBot="1" x14ac:dyDescent="0.3">
      <c r="A352" s="2" t="s">
        <v>15</v>
      </c>
      <c r="B352" s="8" t="s">
        <v>8</v>
      </c>
      <c r="C352" s="8" t="s">
        <v>8</v>
      </c>
      <c r="D352" s="6"/>
      <c r="E352" s="8" t="s">
        <v>8</v>
      </c>
      <c r="F352" s="8" t="s">
        <v>8</v>
      </c>
      <c r="G352" s="90"/>
      <c r="H352" s="91"/>
    </row>
    <row r="353" spans="1:10" ht="15.75" thickBot="1" x14ac:dyDescent="0.3">
      <c r="A353" s="2" t="s">
        <v>16</v>
      </c>
      <c r="B353" s="8" t="s">
        <v>8</v>
      </c>
      <c r="C353" s="8" t="s">
        <v>8</v>
      </c>
      <c r="D353" s="12"/>
      <c r="E353" s="6">
        <f>G353</f>
        <v>50000</v>
      </c>
      <c r="F353" s="6"/>
      <c r="G353" s="90">
        <v>50000</v>
      </c>
      <c r="H353" s="91"/>
    </row>
    <row r="354" spans="1:10" ht="15.75" thickBot="1" x14ac:dyDescent="0.3">
      <c r="A354" s="3" t="s">
        <v>17</v>
      </c>
      <c r="B354" s="6">
        <f>G354*56%</f>
        <v>0</v>
      </c>
      <c r="C354" s="8"/>
      <c r="D354" s="6"/>
      <c r="E354" s="6">
        <f>G354-B354</f>
        <v>0</v>
      </c>
      <c r="F354" s="6"/>
      <c r="G354" s="90">
        <v>0</v>
      </c>
      <c r="H354" s="91"/>
    </row>
    <row r="355" spans="1:10" ht="15.75" thickBot="1" x14ac:dyDescent="0.3">
      <c r="A355" s="3" t="s">
        <v>18</v>
      </c>
      <c r="B355" s="6"/>
      <c r="C355" s="8"/>
      <c r="D355" s="8"/>
      <c r="E355" s="6"/>
      <c r="F355" s="6"/>
      <c r="G355" s="90"/>
      <c r="H355" s="91"/>
    </row>
    <row r="356" spans="1:10" ht="45.75" thickBot="1" x14ac:dyDescent="0.3">
      <c r="A356" s="2" t="s">
        <v>19</v>
      </c>
      <c r="B356" s="6"/>
      <c r="C356" s="8"/>
      <c r="D356" s="6"/>
      <c r="E356" s="6"/>
      <c r="F356" s="6"/>
      <c r="G356" s="94"/>
      <c r="H356" s="95"/>
    </row>
    <row r="357" spans="1:10" ht="45.75" thickBot="1" x14ac:dyDescent="0.3">
      <c r="A357" s="2" t="s">
        <v>20</v>
      </c>
      <c r="B357" s="6">
        <v>0</v>
      </c>
      <c r="C357" s="8"/>
      <c r="D357" s="6"/>
      <c r="E357" s="6">
        <f>G357-B357</f>
        <v>7068</v>
      </c>
      <c r="F357" s="6"/>
      <c r="G357" s="90">
        <v>7068</v>
      </c>
      <c r="H357" s="91"/>
      <c r="J357" s="10"/>
    </row>
    <row r="358" spans="1:10" ht="30.75" thickBot="1" x14ac:dyDescent="0.3">
      <c r="A358" s="2" t="s">
        <v>21</v>
      </c>
      <c r="B358" s="6">
        <f>G358*56%</f>
        <v>10856.160000000002</v>
      </c>
      <c r="C358" s="6"/>
      <c r="D358" s="84">
        <f>G358-B358</f>
        <v>8529.8399999999983</v>
      </c>
      <c r="E358" s="8" t="s">
        <v>8</v>
      </c>
      <c r="F358" s="8" t="s">
        <v>8</v>
      </c>
      <c r="G358" s="90">
        <f>69316-G353-G354+70</f>
        <v>19386</v>
      </c>
      <c r="H358" s="91"/>
    </row>
    <row r="359" spans="1:10" ht="15.75" thickBot="1" x14ac:dyDescent="0.3">
      <c r="A359" s="3" t="s">
        <v>22</v>
      </c>
      <c r="B359" s="6">
        <f>G359*56%</f>
        <v>407.68000000000006</v>
      </c>
      <c r="C359" s="6"/>
      <c r="D359" s="84">
        <f>G359-B359</f>
        <v>320.31999999999994</v>
      </c>
      <c r="E359" s="8" t="s">
        <v>8</v>
      </c>
      <c r="F359" s="8" t="s">
        <v>8</v>
      </c>
      <c r="G359" s="90">
        <v>728</v>
      </c>
      <c r="H359" s="91"/>
    </row>
    <row r="360" spans="1:10" ht="15.75" thickBot="1" x14ac:dyDescent="0.3">
      <c r="A360" s="3" t="s">
        <v>23</v>
      </c>
      <c r="B360" s="8" t="s">
        <v>8</v>
      </c>
      <c r="C360" s="12"/>
      <c r="D360" s="8" t="s">
        <v>8</v>
      </c>
      <c r="E360" s="8" t="s">
        <v>8</v>
      </c>
      <c r="F360" s="8" t="s">
        <v>8</v>
      </c>
      <c r="G360" s="94"/>
      <c r="H360" s="95"/>
    </row>
    <row r="361" spans="1:10" ht="15.75" thickBot="1" x14ac:dyDescent="0.3">
      <c r="A361" s="3" t="s">
        <v>24</v>
      </c>
      <c r="B361" s="6">
        <f>G361*56%</f>
        <v>0</v>
      </c>
      <c r="C361" s="6"/>
      <c r="D361" s="6"/>
      <c r="E361" s="8" t="s">
        <v>8</v>
      </c>
      <c r="F361" s="8" t="s">
        <v>8</v>
      </c>
      <c r="G361" s="90"/>
      <c r="H361" s="91"/>
      <c r="J361" s="10"/>
    </row>
    <row r="362" spans="1:10" ht="15.75" thickBot="1" x14ac:dyDescent="0.3">
      <c r="A362" s="4" t="s">
        <v>25</v>
      </c>
      <c r="B362" s="6">
        <f>SUM(B346:B361)</f>
        <v>297153.11999999994</v>
      </c>
      <c r="C362" s="6"/>
      <c r="D362" s="6">
        <f>SUM(D346:D361)</f>
        <v>107013.87999999999</v>
      </c>
      <c r="E362" s="6">
        <f>SUM(E346:E361)</f>
        <v>57068</v>
      </c>
      <c r="F362" s="6"/>
      <c r="G362" s="90">
        <f>SUM(G346:H361)</f>
        <v>461235</v>
      </c>
      <c r="H362" s="91"/>
      <c r="J362" s="10"/>
    </row>
    <row r="363" spans="1:10" x14ac:dyDescent="0.25">
      <c r="A363" s="92" t="s">
        <v>26</v>
      </c>
      <c r="B363" s="92"/>
      <c r="C363" s="92"/>
      <c r="D363" s="92"/>
      <c r="E363" s="92"/>
      <c r="F363" s="92"/>
      <c r="G363" s="92"/>
      <c r="H363" s="92"/>
    </row>
    <row r="364" spans="1:10" x14ac:dyDescent="0.25">
      <c r="A364" s="93" t="s">
        <v>27</v>
      </c>
      <c r="B364" s="93"/>
      <c r="C364" s="93"/>
      <c r="D364" s="93"/>
      <c r="E364" s="93"/>
      <c r="F364" s="93"/>
      <c r="G364" s="93"/>
      <c r="H364" s="93"/>
    </row>
    <row r="365" spans="1:10" x14ac:dyDescent="0.25">
      <c r="A365" s="93" t="s">
        <v>28</v>
      </c>
      <c r="B365" s="93"/>
      <c r="C365" s="93"/>
      <c r="D365" s="93"/>
      <c r="E365" s="93"/>
      <c r="F365" s="93"/>
      <c r="G365" s="93"/>
      <c r="H365" s="93"/>
    </row>
    <row r="366" spans="1:10" x14ac:dyDescent="0.25">
      <c r="A366" s="1"/>
      <c r="B366" s="9"/>
      <c r="C366" s="9"/>
      <c r="D366" s="9"/>
      <c r="E366" s="9"/>
      <c r="F366" s="9"/>
      <c r="G366" s="9"/>
      <c r="H366" s="9"/>
    </row>
    <row r="367" spans="1:10" ht="15.75" x14ac:dyDescent="0.25">
      <c r="A367" s="5"/>
    </row>
    <row r="368" spans="1:10" x14ac:dyDescent="0.25">
      <c r="B368" s="13" t="s">
        <v>266</v>
      </c>
      <c r="C368" s="13">
        <v>328575</v>
      </c>
    </row>
    <row r="369" spans="1:8" x14ac:dyDescent="0.25">
      <c r="C369" s="10">
        <f>C368-B362</f>
        <v>31421.880000000063</v>
      </c>
      <c r="D369"/>
      <c r="E369"/>
      <c r="F369"/>
      <c r="G369"/>
      <c r="H369"/>
    </row>
    <row r="370" spans="1:8" x14ac:dyDescent="0.25">
      <c r="D370"/>
      <c r="E370"/>
      <c r="F370"/>
      <c r="G370"/>
      <c r="H370"/>
    </row>
    <row r="371" spans="1:8" x14ac:dyDescent="0.25">
      <c r="D371"/>
      <c r="E371"/>
      <c r="F371"/>
      <c r="G371"/>
      <c r="H371"/>
    </row>
    <row r="372" spans="1:8" x14ac:dyDescent="0.25">
      <c r="D372"/>
      <c r="E372"/>
      <c r="F372"/>
      <c r="G372"/>
      <c r="H372"/>
    </row>
    <row r="373" spans="1:8" x14ac:dyDescent="0.25">
      <c r="A373" s="85"/>
      <c r="B373" s="86"/>
      <c r="C373" s="86"/>
      <c r="D373" s="86"/>
      <c r="E373" s="112" t="s">
        <v>29</v>
      </c>
      <c r="F373" s="112"/>
      <c r="G373" s="112"/>
      <c r="H373" s="112"/>
    </row>
    <row r="374" spans="1:8" x14ac:dyDescent="0.25">
      <c r="A374" s="113"/>
      <c r="B374" s="114"/>
      <c r="C374" s="114"/>
      <c r="D374" s="115"/>
      <c r="E374" s="115" t="s">
        <v>0</v>
      </c>
      <c r="F374" s="115"/>
      <c r="G374" s="115"/>
      <c r="H374" s="115"/>
    </row>
    <row r="375" spans="1:8" x14ac:dyDescent="0.25">
      <c r="A375" s="113"/>
      <c r="B375" s="114"/>
      <c r="C375" s="114"/>
      <c r="D375" s="115"/>
      <c r="E375" s="123" t="s">
        <v>1</v>
      </c>
      <c r="F375" s="115"/>
      <c r="G375" s="115"/>
      <c r="H375" s="115"/>
    </row>
    <row r="376" spans="1:8" ht="15.75" thickBot="1" x14ac:dyDescent="0.3">
      <c r="A376" s="98" t="s">
        <v>267</v>
      </c>
      <c r="B376" s="98"/>
      <c r="C376" s="98"/>
      <c r="D376" s="98"/>
      <c r="E376" s="98"/>
      <c r="F376" s="98"/>
      <c r="G376" s="99"/>
      <c r="H376" s="99"/>
    </row>
    <row r="377" spans="1:8" ht="15.75" thickBot="1" x14ac:dyDescent="0.3">
      <c r="A377" s="100" t="s">
        <v>2</v>
      </c>
      <c r="B377" s="103" t="s">
        <v>30</v>
      </c>
      <c r="C377" s="104"/>
      <c r="D377" s="104"/>
      <c r="E377" s="104"/>
      <c r="F377" s="104"/>
      <c r="G377" s="105" t="s">
        <v>3</v>
      </c>
      <c r="H377" s="106"/>
    </row>
    <row r="378" spans="1:8" ht="105.75" thickBot="1" x14ac:dyDescent="0.3">
      <c r="A378" s="101"/>
      <c r="B378" s="96" t="s">
        <v>30</v>
      </c>
      <c r="C378" s="107"/>
      <c r="D378" s="83" t="s">
        <v>32</v>
      </c>
      <c r="E378" s="107" t="s">
        <v>4</v>
      </c>
      <c r="F378" s="97"/>
      <c r="G378" s="108"/>
      <c r="H378" s="109"/>
    </row>
    <row r="379" spans="1:8" ht="150.75" thickBot="1" x14ac:dyDescent="0.3">
      <c r="A379" s="102"/>
      <c r="B379" s="89" t="s">
        <v>36</v>
      </c>
      <c r="C379" s="89" t="s">
        <v>5</v>
      </c>
      <c r="D379" s="89" t="s">
        <v>33</v>
      </c>
      <c r="E379" s="89" t="s">
        <v>34</v>
      </c>
      <c r="F379" s="89" t="s">
        <v>35</v>
      </c>
      <c r="G379" s="110"/>
      <c r="H379" s="111"/>
    </row>
    <row r="380" spans="1:8" ht="15.75" thickBot="1" x14ac:dyDescent="0.3">
      <c r="A380" s="82">
        <v>1</v>
      </c>
      <c r="B380" s="89">
        <v>2</v>
      </c>
      <c r="C380" s="11">
        <v>3</v>
      </c>
      <c r="D380" s="89">
        <v>4</v>
      </c>
      <c r="E380" s="11">
        <v>5</v>
      </c>
      <c r="F380" s="89">
        <v>6</v>
      </c>
      <c r="G380" s="96" t="s">
        <v>37</v>
      </c>
      <c r="H380" s="97"/>
    </row>
    <row r="381" spans="1:8" ht="60.75" thickBot="1" x14ac:dyDescent="0.3">
      <c r="A381" s="2" t="s">
        <v>7</v>
      </c>
      <c r="B381" s="6">
        <f>B382</f>
        <v>229126.32</v>
      </c>
      <c r="C381" s="12"/>
      <c r="D381" s="6">
        <f>D382</f>
        <v>72355.679999999993</v>
      </c>
      <c r="E381" s="8" t="s">
        <v>8</v>
      </c>
      <c r="F381" s="8" t="s">
        <v>8</v>
      </c>
      <c r="G381" s="90">
        <f>304409-1826-1101</f>
        <v>301482</v>
      </c>
      <c r="H381" s="91"/>
    </row>
    <row r="382" spans="1:8" ht="15.75" thickBot="1" x14ac:dyDescent="0.3">
      <c r="A382" s="3" t="s">
        <v>9</v>
      </c>
      <c r="B382" s="6">
        <f>G382*76%</f>
        <v>229126.32</v>
      </c>
      <c r="C382" s="12"/>
      <c r="D382" s="84">
        <f>G382-B382</f>
        <v>72355.679999999993</v>
      </c>
      <c r="E382" s="8" t="s">
        <v>8</v>
      </c>
      <c r="F382" s="8" t="s">
        <v>8</v>
      </c>
      <c r="G382" s="90">
        <f>G381-G383</f>
        <v>301482</v>
      </c>
      <c r="H382" s="91"/>
    </row>
    <row r="383" spans="1:8" ht="15.75" thickBot="1" x14ac:dyDescent="0.3">
      <c r="A383" s="2" t="s">
        <v>10</v>
      </c>
      <c r="B383" s="6">
        <v>0</v>
      </c>
      <c r="C383" s="12"/>
      <c r="D383" s="6">
        <v>0</v>
      </c>
      <c r="E383" s="8" t="s">
        <v>8</v>
      </c>
      <c r="F383" s="8" t="s">
        <v>8</v>
      </c>
      <c r="G383" s="116"/>
      <c r="H383" s="91"/>
    </row>
    <row r="384" spans="1:8" ht="60.75" thickBot="1" x14ac:dyDescent="0.3">
      <c r="A384" s="2" t="s">
        <v>11</v>
      </c>
      <c r="B384" s="6">
        <f>G384*76%</f>
        <v>69217.759999999995</v>
      </c>
      <c r="C384" s="12"/>
      <c r="D384" s="84">
        <f>G384-B384</f>
        <v>21858.240000000005</v>
      </c>
      <c r="E384" s="8" t="s">
        <v>8</v>
      </c>
      <c r="F384" s="8" t="s">
        <v>8</v>
      </c>
      <c r="G384" s="90">
        <f>91920-721-123</f>
        <v>91076</v>
      </c>
      <c r="H384" s="91"/>
    </row>
    <row r="385" spans="1:11" ht="30.75" thickBot="1" x14ac:dyDescent="0.3">
      <c r="A385" s="2" t="s">
        <v>12</v>
      </c>
      <c r="B385" s="6">
        <f>G385*76%</f>
        <v>2865.96</v>
      </c>
      <c r="C385" s="12"/>
      <c r="D385" s="84">
        <f>G385-B385</f>
        <v>905.04</v>
      </c>
      <c r="E385" s="8" t="s">
        <v>8</v>
      </c>
      <c r="F385" s="8" t="s">
        <v>8</v>
      </c>
      <c r="G385" s="90">
        <f>1826+1101+721+123</f>
        <v>3771</v>
      </c>
      <c r="H385" s="91"/>
    </row>
    <row r="386" spans="1:11" ht="15.75" thickBot="1" x14ac:dyDescent="0.3">
      <c r="A386" s="2" t="s">
        <v>13</v>
      </c>
      <c r="B386" s="6">
        <f>G386*56%</f>
        <v>0</v>
      </c>
      <c r="C386" s="6"/>
      <c r="D386" s="84">
        <f>G386-B386</f>
        <v>0</v>
      </c>
      <c r="E386" s="8" t="s">
        <v>8</v>
      </c>
      <c r="F386" s="8" t="s">
        <v>8</v>
      </c>
      <c r="G386" s="90">
        <v>0</v>
      </c>
      <c r="H386" s="91"/>
    </row>
    <row r="387" spans="1:11" ht="30.75" thickBot="1" x14ac:dyDescent="0.3">
      <c r="A387" s="2" t="s">
        <v>14</v>
      </c>
      <c r="B387" s="6">
        <f>G387*56%</f>
        <v>17440.640000000003</v>
      </c>
      <c r="C387" s="6"/>
      <c r="D387" s="84">
        <f>G387-B387</f>
        <v>13703.359999999997</v>
      </c>
      <c r="E387" s="8" t="s">
        <v>8</v>
      </c>
      <c r="F387" s="8" t="s">
        <v>8</v>
      </c>
      <c r="G387" s="90">
        <v>31144</v>
      </c>
      <c r="H387" s="91"/>
      <c r="J387" s="10"/>
      <c r="K387" s="10"/>
    </row>
    <row r="388" spans="1:11" ht="45.75" thickBot="1" x14ac:dyDescent="0.3">
      <c r="A388" s="2" t="s">
        <v>15</v>
      </c>
      <c r="B388" s="8" t="s">
        <v>8</v>
      </c>
      <c r="C388" s="8" t="s">
        <v>8</v>
      </c>
      <c r="D388" s="6"/>
      <c r="E388" s="8" t="s">
        <v>8</v>
      </c>
      <c r="F388" s="8" t="s">
        <v>8</v>
      </c>
      <c r="G388" s="90"/>
      <c r="H388" s="91"/>
    </row>
    <row r="389" spans="1:11" ht="15.75" thickBot="1" x14ac:dyDescent="0.3">
      <c r="A389" s="2" t="s">
        <v>16</v>
      </c>
      <c r="B389" s="8" t="s">
        <v>8</v>
      </c>
      <c r="C389" s="8" t="s">
        <v>8</v>
      </c>
      <c r="D389" s="12"/>
      <c r="E389" s="6">
        <f>G389</f>
        <v>55000</v>
      </c>
      <c r="F389" s="6"/>
      <c r="G389" s="90">
        <v>55000</v>
      </c>
      <c r="H389" s="91"/>
    </row>
    <row r="390" spans="1:11" ht="15.75" thickBot="1" x14ac:dyDescent="0.3">
      <c r="A390" s="3" t="s">
        <v>17</v>
      </c>
      <c r="B390" s="6">
        <f>G390*56%</f>
        <v>0</v>
      </c>
      <c r="C390" s="8"/>
      <c r="D390" s="6"/>
      <c r="E390" s="6">
        <f>G390-B390</f>
        <v>0</v>
      </c>
      <c r="F390" s="6"/>
      <c r="G390" s="90">
        <v>0</v>
      </c>
      <c r="H390" s="91"/>
    </row>
    <row r="391" spans="1:11" ht="15.75" thickBot="1" x14ac:dyDescent="0.3">
      <c r="A391" s="3" t="s">
        <v>18</v>
      </c>
      <c r="B391" s="6"/>
      <c r="C391" s="8"/>
      <c r="D391" s="8"/>
      <c r="E391" s="6"/>
      <c r="F391" s="6"/>
      <c r="G391" s="90"/>
      <c r="H391" s="91"/>
    </row>
    <row r="392" spans="1:11" ht="45.75" thickBot="1" x14ac:dyDescent="0.3">
      <c r="A392" s="2" t="s">
        <v>19</v>
      </c>
      <c r="B392" s="6"/>
      <c r="C392" s="8"/>
      <c r="D392" s="6"/>
      <c r="E392" s="6"/>
      <c r="F392" s="6"/>
      <c r="G392" s="94"/>
      <c r="H392" s="95"/>
    </row>
    <row r="393" spans="1:11" ht="45.75" thickBot="1" x14ac:dyDescent="0.3">
      <c r="A393" s="2" t="s">
        <v>20</v>
      </c>
      <c r="B393" s="6">
        <v>0</v>
      </c>
      <c r="C393" s="8"/>
      <c r="D393" s="6"/>
      <c r="E393" s="6">
        <f>G393-B393</f>
        <v>6868</v>
      </c>
      <c r="F393" s="6"/>
      <c r="G393" s="90">
        <v>6868</v>
      </c>
      <c r="H393" s="91"/>
      <c r="J393" s="10"/>
    </row>
    <row r="394" spans="1:11" ht="30.75" thickBot="1" x14ac:dyDescent="0.3">
      <c r="A394" s="2" t="s">
        <v>21</v>
      </c>
      <c r="B394" s="6">
        <f>G394*56%</f>
        <v>12482.960000000001</v>
      </c>
      <c r="C394" s="6"/>
      <c r="D394" s="84">
        <f>G394-B394</f>
        <v>9808.0399999999991</v>
      </c>
      <c r="E394" s="8" t="s">
        <v>8</v>
      </c>
      <c r="F394" s="8" t="s">
        <v>8</v>
      </c>
      <c r="G394" s="90">
        <f>77291-G389</f>
        <v>22291</v>
      </c>
      <c r="H394" s="91"/>
    </row>
    <row r="395" spans="1:11" ht="15.75" thickBot="1" x14ac:dyDescent="0.3">
      <c r="A395" s="3" t="s">
        <v>22</v>
      </c>
      <c r="B395" s="6">
        <f>G395*56%</f>
        <v>1468.3200000000002</v>
      </c>
      <c r="C395" s="6"/>
      <c r="D395" s="84">
        <f>G395-B395</f>
        <v>1153.6799999999998</v>
      </c>
      <c r="E395" s="8" t="s">
        <v>8</v>
      </c>
      <c r="F395" s="8" t="s">
        <v>8</v>
      </c>
      <c r="G395" s="153">
        <f>1846+776</f>
        <v>2622</v>
      </c>
      <c r="H395" s="91"/>
    </row>
    <row r="396" spans="1:11" ht="15.75" thickBot="1" x14ac:dyDescent="0.3">
      <c r="A396" s="3" t="s">
        <v>23</v>
      </c>
      <c r="B396" s="8" t="s">
        <v>8</v>
      </c>
      <c r="C396" s="12"/>
      <c r="D396" s="8" t="s">
        <v>8</v>
      </c>
      <c r="E396" s="8" t="s">
        <v>8</v>
      </c>
      <c r="F396" s="8" t="s">
        <v>8</v>
      </c>
      <c r="G396" s="94"/>
      <c r="H396" s="95"/>
    </row>
    <row r="397" spans="1:11" ht="15.75" thickBot="1" x14ac:dyDescent="0.3">
      <c r="A397" s="3" t="s">
        <v>24</v>
      </c>
      <c r="B397" s="6">
        <f>G397*56%</f>
        <v>0</v>
      </c>
      <c r="C397" s="6"/>
      <c r="D397" s="6"/>
      <c r="E397" s="8" t="s">
        <v>8</v>
      </c>
      <c r="F397" s="8" t="s">
        <v>8</v>
      </c>
      <c r="G397" s="90"/>
      <c r="H397" s="91"/>
      <c r="J397" s="10"/>
    </row>
    <row r="398" spans="1:11" ht="15.75" thickBot="1" x14ac:dyDescent="0.3">
      <c r="A398" s="4" t="s">
        <v>25</v>
      </c>
      <c r="B398" s="6">
        <f>SUM(B382:B397)</f>
        <v>332601.96000000008</v>
      </c>
      <c r="C398" s="6"/>
      <c r="D398" s="6">
        <f>SUM(D382:D397)</f>
        <v>119784.03999999998</v>
      </c>
      <c r="E398" s="6">
        <f>SUM(E382:E397)</f>
        <v>61868</v>
      </c>
      <c r="F398" s="6"/>
      <c r="G398" s="90">
        <f>SUM(G382:H397)</f>
        <v>514254</v>
      </c>
      <c r="H398" s="91"/>
      <c r="J398" s="10"/>
    </row>
    <row r="399" spans="1:11" x14ac:dyDescent="0.25">
      <c r="A399" s="92" t="s">
        <v>26</v>
      </c>
      <c r="B399" s="92"/>
      <c r="C399" s="92"/>
      <c r="D399" s="92"/>
      <c r="E399" s="92"/>
      <c r="F399" s="92"/>
      <c r="G399" s="92"/>
      <c r="H399" s="92"/>
    </row>
    <row r="400" spans="1:11" x14ac:dyDescent="0.25">
      <c r="A400" s="93" t="s">
        <v>27</v>
      </c>
      <c r="B400" s="93"/>
      <c r="C400" s="93"/>
      <c r="D400" s="93"/>
      <c r="E400" s="93"/>
      <c r="F400" s="93"/>
      <c r="G400" s="93"/>
      <c r="H400" s="93"/>
    </row>
    <row r="401" spans="1:8" x14ac:dyDescent="0.25">
      <c r="A401" s="93" t="s">
        <v>28</v>
      </c>
      <c r="B401" s="93"/>
      <c r="C401" s="93"/>
      <c r="D401" s="93"/>
      <c r="E401" s="93"/>
      <c r="F401" s="93"/>
      <c r="G401" s="93"/>
      <c r="H401" s="93"/>
    </row>
    <row r="402" spans="1:8" x14ac:dyDescent="0.25">
      <c r="A402" s="1"/>
      <c r="B402" s="9"/>
      <c r="C402" s="9"/>
      <c r="D402" s="9"/>
      <c r="E402" s="9"/>
      <c r="F402" s="9"/>
      <c r="G402" s="9"/>
      <c r="H402" s="9"/>
    </row>
    <row r="403" spans="1:8" ht="15.75" x14ac:dyDescent="0.25">
      <c r="A403" s="5"/>
    </row>
    <row r="404" spans="1:8" x14ac:dyDescent="0.25">
      <c r="B404" s="13" t="s">
        <v>272</v>
      </c>
      <c r="C404" s="13">
        <v>361432</v>
      </c>
    </row>
    <row r="405" spans="1:8" x14ac:dyDescent="0.25">
      <c r="C405" s="10">
        <f>C404-B398</f>
        <v>28830.039999999921</v>
      </c>
      <c r="D405"/>
      <c r="E405"/>
      <c r="F405"/>
      <c r="G405"/>
      <c r="H405"/>
    </row>
    <row r="406" spans="1:8" x14ac:dyDescent="0.25">
      <c r="D406"/>
      <c r="E406"/>
      <c r="F406"/>
      <c r="G406"/>
      <c r="H406"/>
    </row>
    <row r="407" spans="1:8" x14ac:dyDescent="0.25">
      <c r="D407"/>
      <c r="E407"/>
      <c r="F407"/>
      <c r="G407"/>
      <c r="H407"/>
    </row>
    <row r="408" spans="1:8" x14ac:dyDescent="0.25">
      <c r="D408"/>
      <c r="E408"/>
      <c r="F408"/>
      <c r="G408"/>
      <c r="H408"/>
    </row>
    <row r="409" spans="1:8" x14ac:dyDescent="0.25">
      <c r="D409"/>
      <c r="E409"/>
      <c r="F409"/>
      <c r="G409"/>
      <c r="H409"/>
    </row>
    <row r="410" spans="1:8" x14ac:dyDescent="0.25">
      <c r="D410"/>
      <c r="E410"/>
      <c r="F410"/>
      <c r="G410"/>
      <c r="H410"/>
    </row>
    <row r="411" spans="1:8" x14ac:dyDescent="0.25">
      <c r="A411" s="85"/>
      <c r="B411" s="86"/>
      <c r="C411" s="86"/>
      <c r="D411" s="86"/>
      <c r="E411" s="112" t="s">
        <v>29</v>
      </c>
      <c r="F411" s="112"/>
      <c r="G411" s="112"/>
      <c r="H411" s="112"/>
    </row>
    <row r="412" spans="1:8" x14ac:dyDescent="0.25">
      <c r="A412" s="113"/>
      <c r="B412" s="114"/>
      <c r="C412" s="114"/>
      <c r="D412" s="115"/>
      <c r="E412" s="115" t="s">
        <v>0</v>
      </c>
      <c r="F412" s="115"/>
      <c r="G412" s="115"/>
      <c r="H412" s="115"/>
    </row>
    <row r="413" spans="1:8" x14ac:dyDescent="0.25">
      <c r="A413" s="113"/>
      <c r="B413" s="114"/>
      <c r="C413" s="114"/>
      <c r="D413" s="115"/>
      <c r="E413" s="123" t="s">
        <v>1</v>
      </c>
      <c r="F413" s="115"/>
      <c r="G413" s="115"/>
      <c r="H413" s="115"/>
    </row>
    <row r="414" spans="1:8" ht="15.75" thickBot="1" x14ac:dyDescent="0.3">
      <c r="A414" s="98" t="s">
        <v>273</v>
      </c>
      <c r="B414" s="98"/>
      <c r="C414" s="98"/>
      <c r="D414" s="98"/>
      <c r="E414" s="98"/>
      <c r="F414" s="98"/>
      <c r="G414" s="99"/>
      <c r="H414" s="99"/>
    </row>
    <row r="415" spans="1:8" ht="15.75" hidden="1" thickBot="1" x14ac:dyDescent="0.3">
      <c r="A415" s="122"/>
      <c r="B415" s="122"/>
      <c r="C415" s="122"/>
      <c r="D415" s="122"/>
      <c r="E415" s="122"/>
      <c r="F415" s="122"/>
      <c r="G415" s="122"/>
      <c r="H415" s="122"/>
    </row>
    <row r="416" spans="1:8" ht="15.75" hidden="1" thickBot="1" x14ac:dyDescent="0.3">
      <c r="A416" s="122"/>
      <c r="B416" s="122"/>
      <c r="C416" s="122"/>
      <c r="D416" s="122"/>
      <c r="E416" s="122"/>
      <c r="F416" s="122"/>
      <c r="G416" s="122"/>
      <c r="H416" s="122"/>
    </row>
    <row r="417" spans="1:11" ht="58.15" hidden="1" customHeight="1" x14ac:dyDescent="0.25">
      <c r="A417" s="122"/>
      <c r="B417" s="122"/>
      <c r="C417" s="122"/>
      <c r="D417" s="122"/>
      <c r="E417" s="122"/>
      <c r="F417" s="122"/>
      <c r="G417" s="122"/>
      <c r="H417" s="122"/>
    </row>
    <row r="418" spans="1:11" ht="15.75" hidden="1" thickBot="1" x14ac:dyDescent="0.3">
      <c r="A418" s="98" t="s">
        <v>225</v>
      </c>
      <c r="B418" s="98"/>
      <c r="C418" s="98"/>
      <c r="D418" s="98"/>
      <c r="E418" s="98"/>
      <c r="F418" s="98"/>
      <c r="G418" s="99"/>
      <c r="H418" s="99"/>
    </row>
    <row r="419" spans="1:11" ht="15.75" thickBot="1" x14ac:dyDescent="0.3">
      <c r="A419" s="100" t="s">
        <v>2</v>
      </c>
      <c r="B419" s="103" t="s">
        <v>30</v>
      </c>
      <c r="C419" s="104"/>
      <c r="D419" s="104"/>
      <c r="E419" s="104"/>
      <c r="F419" s="104"/>
      <c r="G419" s="105" t="s">
        <v>3</v>
      </c>
      <c r="H419" s="106"/>
    </row>
    <row r="420" spans="1:11" ht="105.75" thickBot="1" x14ac:dyDescent="0.3">
      <c r="A420" s="101"/>
      <c r="B420" s="96" t="s">
        <v>172</v>
      </c>
      <c r="C420" s="107"/>
      <c r="D420" s="83" t="s">
        <v>32</v>
      </c>
      <c r="E420" s="107" t="s">
        <v>4</v>
      </c>
      <c r="F420" s="97"/>
      <c r="G420" s="108"/>
      <c r="H420" s="109"/>
    </row>
    <row r="421" spans="1:11" ht="150.75" thickBot="1" x14ac:dyDescent="0.3">
      <c r="A421" s="102"/>
      <c r="B421" s="89" t="s">
        <v>36</v>
      </c>
      <c r="C421" s="89" t="s">
        <v>5</v>
      </c>
      <c r="D421" s="89" t="s">
        <v>33</v>
      </c>
      <c r="E421" s="89" t="s">
        <v>34</v>
      </c>
      <c r="F421" s="89" t="s">
        <v>35</v>
      </c>
      <c r="G421" s="110"/>
      <c r="H421" s="111"/>
    </row>
    <row r="422" spans="1:11" ht="15.75" thickBot="1" x14ac:dyDescent="0.3">
      <c r="A422" s="82">
        <v>1</v>
      </c>
      <c r="B422" s="89">
        <v>2</v>
      </c>
      <c r="C422" s="11">
        <v>3</v>
      </c>
      <c r="D422" s="89">
        <v>4</v>
      </c>
      <c r="E422" s="11">
        <v>5</v>
      </c>
      <c r="F422" s="89">
        <v>6</v>
      </c>
      <c r="G422" s="96" t="s">
        <v>37</v>
      </c>
      <c r="H422" s="97"/>
    </row>
    <row r="423" spans="1:11" ht="60.75" thickBot="1" x14ac:dyDescent="0.3">
      <c r="A423" s="2" t="s">
        <v>7</v>
      </c>
      <c r="B423" s="6">
        <f>B424</f>
        <v>256010.56</v>
      </c>
      <c r="C423" s="53" t="s">
        <v>8</v>
      </c>
      <c r="D423" s="6">
        <f>D424</f>
        <v>80845.440000000002</v>
      </c>
      <c r="E423" s="8" t="s">
        <v>8</v>
      </c>
      <c r="F423" s="8" t="s">
        <v>8</v>
      </c>
      <c r="G423" s="90">
        <f>345112-7155-1101</f>
        <v>336856</v>
      </c>
      <c r="H423" s="91"/>
    </row>
    <row r="424" spans="1:11" ht="15.75" thickBot="1" x14ac:dyDescent="0.3">
      <c r="A424" s="3" t="s">
        <v>9</v>
      </c>
      <c r="B424" s="6">
        <f>G424*76%</f>
        <v>256010.56</v>
      </c>
      <c r="C424" s="53" t="s">
        <v>8</v>
      </c>
      <c r="D424" s="84">
        <f>G424-B424</f>
        <v>80845.440000000002</v>
      </c>
      <c r="E424" s="8" t="s">
        <v>8</v>
      </c>
      <c r="F424" s="8" t="s">
        <v>8</v>
      </c>
      <c r="G424" s="90">
        <f>G423-G425</f>
        <v>336856</v>
      </c>
      <c r="H424" s="91"/>
    </row>
    <row r="425" spans="1:11" ht="15.75" thickBot="1" x14ac:dyDescent="0.3">
      <c r="A425" s="2" t="s">
        <v>10</v>
      </c>
      <c r="B425" s="6">
        <v>0</v>
      </c>
      <c r="C425" s="53" t="s">
        <v>8</v>
      </c>
      <c r="D425" s="6">
        <v>0</v>
      </c>
      <c r="E425" s="8" t="s">
        <v>8</v>
      </c>
      <c r="F425" s="8" t="s">
        <v>8</v>
      </c>
      <c r="G425" s="116"/>
      <c r="H425" s="91"/>
    </row>
    <row r="426" spans="1:11" ht="60.75" thickBot="1" x14ac:dyDescent="0.3">
      <c r="A426" s="2" t="s">
        <v>11</v>
      </c>
      <c r="B426" s="6">
        <f>G426*76%</f>
        <v>75890.559999999998</v>
      </c>
      <c r="C426" s="53" t="s">
        <v>8</v>
      </c>
      <c r="D426" s="84">
        <f>G426-B426</f>
        <v>23965.440000000002</v>
      </c>
      <c r="E426" s="8" t="s">
        <v>8</v>
      </c>
      <c r="F426" s="8" t="s">
        <v>8</v>
      </c>
      <c r="G426" s="90">
        <f>101935-1956-123</f>
        <v>99856</v>
      </c>
      <c r="H426" s="91"/>
    </row>
    <row r="427" spans="1:11" ht="30.75" thickBot="1" x14ac:dyDescent="0.3">
      <c r="A427" s="2" t="s">
        <v>12</v>
      </c>
      <c r="B427" s="6">
        <f>G427*76%</f>
        <v>7854.6</v>
      </c>
      <c r="C427" s="53" t="s">
        <v>8</v>
      </c>
      <c r="D427" s="84">
        <f>G427-B427</f>
        <v>2480.3999999999996</v>
      </c>
      <c r="E427" s="8" t="s">
        <v>8</v>
      </c>
      <c r="F427" s="8" t="s">
        <v>8</v>
      </c>
      <c r="G427" s="90">
        <f>7155+1101+1956+123</f>
        <v>10335</v>
      </c>
      <c r="H427" s="91"/>
    </row>
    <row r="428" spans="1:11" ht="15.75" thickBot="1" x14ac:dyDescent="0.3">
      <c r="A428" s="2" t="s">
        <v>13</v>
      </c>
      <c r="B428" s="6">
        <f>G428*58%</f>
        <v>0</v>
      </c>
      <c r="C428" s="53" t="s">
        <v>8</v>
      </c>
      <c r="D428" s="84">
        <f>G428-B428</f>
        <v>0</v>
      </c>
      <c r="E428" s="8" t="s">
        <v>8</v>
      </c>
      <c r="F428" s="8" t="s">
        <v>8</v>
      </c>
      <c r="G428" s="90">
        <v>0</v>
      </c>
      <c r="H428" s="91"/>
    </row>
    <row r="429" spans="1:11" ht="30.75" thickBot="1" x14ac:dyDescent="0.3">
      <c r="A429" s="2" t="s">
        <v>14</v>
      </c>
      <c r="B429" s="6">
        <f>G429*58%</f>
        <v>18916.12</v>
      </c>
      <c r="C429" s="53" t="s">
        <v>8</v>
      </c>
      <c r="D429" s="84">
        <f>G429-B429</f>
        <v>13697.880000000001</v>
      </c>
      <c r="E429" s="8" t="s">
        <v>8</v>
      </c>
      <c r="F429" s="8" t="s">
        <v>8</v>
      </c>
      <c r="G429" s="90">
        <v>32614</v>
      </c>
      <c r="H429" s="91"/>
      <c r="J429" s="10"/>
      <c r="K429" s="10"/>
    </row>
    <row r="430" spans="1:11" ht="45.75" thickBot="1" x14ac:dyDescent="0.3">
      <c r="A430" s="2" t="s">
        <v>15</v>
      </c>
      <c r="B430" s="8" t="s">
        <v>8</v>
      </c>
      <c r="C430" s="8" t="s">
        <v>8</v>
      </c>
      <c r="D430" s="6"/>
      <c r="E430" s="8" t="s">
        <v>8</v>
      </c>
      <c r="F430" s="8" t="s">
        <v>8</v>
      </c>
      <c r="G430" s="90"/>
      <c r="H430" s="91"/>
    </row>
    <row r="431" spans="1:11" ht="15.75" thickBot="1" x14ac:dyDescent="0.3">
      <c r="A431" s="2" t="s">
        <v>16</v>
      </c>
      <c r="B431" s="8" t="s">
        <v>8</v>
      </c>
      <c r="C431" s="8" t="s">
        <v>8</v>
      </c>
      <c r="D431" s="8" t="s">
        <v>8</v>
      </c>
      <c r="E431" s="6">
        <f>G431</f>
        <v>65000</v>
      </c>
      <c r="F431" s="6"/>
      <c r="G431" s="90">
        <v>65000</v>
      </c>
      <c r="H431" s="91"/>
    </row>
    <row r="432" spans="1:11" ht="15.75" thickBot="1" x14ac:dyDescent="0.3">
      <c r="A432" s="3" t="s">
        <v>17</v>
      </c>
      <c r="B432" s="8" t="s">
        <v>8</v>
      </c>
      <c r="C432" s="8" t="s">
        <v>8</v>
      </c>
      <c r="D432" s="8" t="s">
        <v>8</v>
      </c>
      <c r="E432" s="6">
        <f>G432</f>
        <v>0</v>
      </c>
      <c r="F432" s="6"/>
      <c r="G432" s="90">
        <v>0</v>
      </c>
      <c r="H432" s="91"/>
    </row>
    <row r="433" spans="1:10" ht="15.75" thickBot="1" x14ac:dyDescent="0.3">
      <c r="A433" s="3" t="s">
        <v>18</v>
      </c>
      <c r="B433" s="8" t="s">
        <v>8</v>
      </c>
      <c r="C433" s="8" t="s">
        <v>8</v>
      </c>
      <c r="D433" s="8" t="s">
        <v>8</v>
      </c>
      <c r="E433" s="6"/>
      <c r="F433" s="6"/>
      <c r="G433" s="90"/>
      <c r="H433" s="91"/>
    </row>
    <row r="434" spans="1:10" ht="45.75" thickBot="1" x14ac:dyDescent="0.3">
      <c r="A434" s="2" t="s">
        <v>19</v>
      </c>
      <c r="B434" s="8" t="s">
        <v>8</v>
      </c>
      <c r="C434" s="8" t="s">
        <v>8</v>
      </c>
      <c r="D434" s="8" t="s">
        <v>8</v>
      </c>
      <c r="E434" s="6"/>
      <c r="F434" s="6"/>
      <c r="G434" s="94"/>
      <c r="H434" s="95"/>
    </row>
    <row r="435" spans="1:10" ht="45.75" thickBot="1" x14ac:dyDescent="0.3">
      <c r="A435" s="2" t="s">
        <v>20</v>
      </c>
      <c r="B435" s="8" t="s">
        <v>8</v>
      </c>
      <c r="C435" s="8" t="s">
        <v>8</v>
      </c>
      <c r="D435" s="8" t="s">
        <v>8</v>
      </c>
      <c r="E435" s="6">
        <f>G435</f>
        <v>7410</v>
      </c>
      <c r="F435" s="6"/>
      <c r="G435" s="90">
        <v>7410</v>
      </c>
      <c r="H435" s="91"/>
      <c r="J435" s="10"/>
    </row>
    <row r="436" spans="1:10" ht="30.75" thickBot="1" x14ac:dyDescent="0.3">
      <c r="A436" s="2" t="s">
        <v>21</v>
      </c>
      <c r="B436" s="6">
        <f>G436*58%</f>
        <v>23780</v>
      </c>
      <c r="C436" s="8" t="s">
        <v>8</v>
      </c>
      <c r="D436" s="84">
        <f>G436-B436</f>
        <v>17220</v>
      </c>
      <c r="E436" s="8" t="s">
        <v>8</v>
      </c>
      <c r="F436" s="8" t="s">
        <v>8</v>
      </c>
      <c r="G436" s="90">
        <f>106000-G431</f>
        <v>41000</v>
      </c>
      <c r="H436" s="91"/>
    </row>
    <row r="437" spans="1:10" ht="15.75" thickBot="1" x14ac:dyDescent="0.3">
      <c r="A437" s="3" t="s">
        <v>22</v>
      </c>
      <c r="B437" s="6">
        <f>G437*58%</f>
        <v>1558.4599999999998</v>
      </c>
      <c r="C437" s="8" t="s">
        <v>8</v>
      </c>
      <c r="D437" s="84">
        <f>G437-B437</f>
        <v>1128.5400000000002</v>
      </c>
      <c r="E437" s="8" t="s">
        <v>8</v>
      </c>
      <c r="F437" s="8" t="s">
        <v>8</v>
      </c>
      <c r="G437" s="90">
        <f>1846+841</f>
        <v>2687</v>
      </c>
      <c r="H437" s="91"/>
    </row>
    <row r="438" spans="1:10" ht="15.75" thickBot="1" x14ac:dyDescent="0.3">
      <c r="A438" s="3" t="s">
        <v>23</v>
      </c>
      <c r="B438" s="8" t="s">
        <v>8</v>
      </c>
      <c r="C438" s="8"/>
      <c r="D438" s="8" t="s">
        <v>8</v>
      </c>
      <c r="E438" s="8" t="s">
        <v>8</v>
      </c>
      <c r="F438" s="8" t="s">
        <v>8</v>
      </c>
      <c r="G438" s="94"/>
      <c r="H438" s="95"/>
    </row>
    <row r="439" spans="1:10" ht="15.75" thickBot="1" x14ac:dyDescent="0.3">
      <c r="A439" s="3" t="s">
        <v>24</v>
      </c>
      <c r="B439" s="6">
        <f>G439*58%</f>
        <v>0</v>
      </c>
      <c r="C439" s="8" t="s">
        <v>8</v>
      </c>
      <c r="D439" s="6"/>
      <c r="E439" s="8" t="s">
        <v>8</v>
      </c>
      <c r="F439" s="8" t="s">
        <v>8</v>
      </c>
      <c r="G439" s="90"/>
      <c r="H439" s="91"/>
      <c r="J439" s="10"/>
    </row>
    <row r="440" spans="1:10" ht="15.75" thickBot="1" x14ac:dyDescent="0.3">
      <c r="A440" s="4" t="s">
        <v>25</v>
      </c>
      <c r="B440" s="6">
        <f>SUM(B424:B439)</f>
        <v>384010.3</v>
      </c>
      <c r="C440" s="6"/>
      <c r="D440" s="6">
        <f>SUM(D424:D439)</f>
        <v>139337.70000000001</v>
      </c>
      <c r="E440" s="6">
        <f>SUM(E424:E439)</f>
        <v>72410</v>
      </c>
      <c r="F440" s="6"/>
      <c r="G440" s="90">
        <f>SUM(G424:H439)</f>
        <v>595758</v>
      </c>
      <c r="H440" s="91"/>
      <c r="J440" s="10"/>
    </row>
    <row r="441" spans="1:10" x14ac:dyDescent="0.25">
      <c r="A441" s="117" t="s">
        <v>173</v>
      </c>
      <c r="B441" s="118"/>
      <c r="C441" s="118"/>
      <c r="D441" s="118"/>
      <c r="E441" s="118"/>
      <c r="F441" s="118"/>
      <c r="G441" s="118"/>
      <c r="H441" s="118"/>
      <c r="J441" s="10"/>
    </row>
    <row r="442" spans="1:10" x14ac:dyDescent="0.25">
      <c r="A442" s="119"/>
      <c r="B442" s="119"/>
      <c r="C442" s="119"/>
      <c r="D442" s="119"/>
      <c r="E442" s="119"/>
      <c r="F442" s="119"/>
      <c r="G442" s="119"/>
      <c r="H442" s="119"/>
      <c r="J442" s="10"/>
    </row>
    <row r="443" spans="1:10" x14ac:dyDescent="0.25">
      <c r="A443" s="119"/>
      <c r="B443" s="119"/>
      <c r="C443" s="119"/>
      <c r="D443" s="119"/>
      <c r="E443" s="119"/>
      <c r="F443" s="119"/>
      <c r="G443" s="119"/>
      <c r="H443" s="119"/>
      <c r="J443" s="10"/>
    </row>
    <row r="444" spans="1:10" x14ac:dyDescent="0.25">
      <c r="A444" s="120"/>
      <c r="B444" s="120"/>
      <c r="C444" s="120"/>
      <c r="D444" s="120"/>
      <c r="E444" s="120"/>
      <c r="F444" s="120"/>
      <c r="G444" s="120"/>
      <c r="H444" s="120"/>
      <c r="J444" s="10"/>
    </row>
    <row r="445" spans="1:10" x14ac:dyDescent="0.25">
      <c r="A445" s="52"/>
      <c r="B445" s="51" t="s">
        <v>274</v>
      </c>
      <c r="C445" s="81">
        <v>398422</v>
      </c>
      <c r="D445" s="51"/>
      <c r="E445" s="51"/>
      <c r="F445" s="51"/>
      <c r="G445" s="51"/>
      <c r="H445" s="51"/>
    </row>
    <row r="446" spans="1:10" x14ac:dyDescent="0.25">
      <c r="C446" s="10">
        <f>C445-B440</f>
        <v>14411.700000000012</v>
      </c>
      <c r="D446"/>
      <c r="E446"/>
      <c r="F446"/>
      <c r="G446"/>
      <c r="H446"/>
    </row>
    <row r="447" spans="1:10" x14ac:dyDescent="0.25">
      <c r="D447"/>
      <c r="E447"/>
      <c r="F447"/>
      <c r="G447"/>
      <c r="H447"/>
    </row>
    <row r="448" spans="1:10" x14ac:dyDescent="0.25">
      <c r="D448"/>
      <c r="E448"/>
      <c r="F448"/>
      <c r="G448"/>
      <c r="H448"/>
    </row>
    <row r="449" spans="1:8" s="79" customFormat="1" x14ac:dyDescent="0.25">
      <c r="B449" s="80"/>
      <c r="C449" s="80"/>
    </row>
    <row r="450" spans="1:8" s="79" customFormat="1" x14ac:dyDescent="0.25">
      <c r="B450" s="80"/>
      <c r="C450" s="80"/>
      <c r="D450" s="80"/>
      <c r="E450" s="80"/>
      <c r="F450" s="80"/>
      <c r="G450" s="80"/>
      <c r="H450" s="80"/>
    </row>
    <row r="451" spans="1:8" s="79" customFormat="1" x14ac:dyDescent="0.25">
      <c r="B451" s="80"/>
      <c r="C451" s="80"/>
      <c r="D451" s="80"/>
      <c r="E451" s="80"/>
      <c r="F451" s="80"/>
      <c r="G451" s="80"/>
      <c r="H451" s="80"/>
    </row>
    <row r="454" spans="1:8" x14ac:dyDescent="0.25">
      <c r="A454" s="85"/>
      <c r="B454" s="86"/>
      <c r="C454" s="86"/>
      <c r="D454" s="86"/>
      <c r="E454" s="112" t="s">
        <v>29</v>
      </c>
      <c r="F454" s="112"/>
      <c r="G454" s="112"/>
      <c r="H454" s="112"/>
    </row>
    <row r="455" spans="1:8" x14ac:dyDescent="0.25">
      <c r="A455" s="113"/>
      <c r="B455" s="114"/>
      <c r="C455" s="114"/>
      <c r="D455" s="115"/>
      <c r="E455" s="115" t="s">
        <v>0</v>
      </c>
      <c r="F455" s="115"/>
      <c r="G455" s="115"/>
      <c r="H455" s="115"/>
    </row>
    <row r="456" spans="1:8" x14ac:dyDescent="0.25">
      <c r="A456" s="113"/>
      <c r="B456" s="114"/>
      <c r="C456" s="114"/>
      <c r="D456" s="115"/>
      <c r="E456" s="115" t="s">
        <v>1</v>
      </c>
      <c r="F456" s="115"/>
      <c r="G456" s="115"/>
      <c r="H456" s="115"/>
    </row>
    <row r="457" spans="1:8" ht="15.75" thickBot="1" x14ac:dyDescent="0.3">
      <c r="A457" s="98" t="s">
        <v>39</v>
      </c>
      <c r="B457" s="98"/>
      <c r="C457" s="98"/>
      <c r="D457" s="98"/>
      <c r="E457" s="98"/>
      <c r="F457" s="98"/>
      <c r="G457" s="99"/>
      <c r="H457" s="99"/>
    </row>
    <row r="458" spans="1:8" ht="15.75" thickBot="1" x14ac:dyDescent="0.3">
      <c r="A458" s="100" t="s">
        <v>2</v>
      </c>
      <c r="B458" s="103" t="s">
        <v>30</v>
      </c>
      <c r="C458" s="104"/>
      <c r="D458" s="104"/>
      <c r="E458" s="104"/>
      <c r="F458" s="104"/>
      <c r="G458" s="105" t="s">
        <v>3</v>
      </c>
      <c r="H458" s="106"/>
    </row>
    <row r="459" spans="1:8" ht="105.75" thickBot="1" x14ac:dyDescent="0.3">
      <c r="A459" s="101"/>
      <c r="B459" s="96" t="s">
        <v>30</v>
      </c>
      <c r="C459" s="107"/>
      <c r="D459" s="83" t="s">
        <v>32</v>
      </c>
      <c r="E459" s="107" t="s">
        <v>4</v>
      </c>
      <c r="F459" s="97"/>
      <c r="G459" s="108"/>
      <c r="H459" s="109"/>
    </row>
    <row r="460" spans="1:8" ht="150.75" thickBot="1" x14ac:dyDescent="0.3">
      <c r="A460" s="102"/>
      <c r="B460" s="89" t="s">
        <v>36</v>
      </c>
      <c r="C460" s="89" t="s">
        <v>5</v>
      </c>
      <c r="D460" s="89" t="s">
        <v>33</v>
      </c>
      <c r="E460" s="89" t="s">
        <v>34</v>
      </c>
      <c r="F460" s="89" t="s">
        <v>35</v>
      </c>
      <c r="G460" s="110"/>
      <c r="H460" s="111"/>
    </row>
    <row r="461" spans="1:8" ht="15.75" thickBot="1" x14ac:dyDescent="0.3">
      <c r="A461" s="82">
        <v>1</v>
      </c>
      <c r="B461" s="89">
        <v>2</v>
      </c>
      <c r="C461" s="11">
        <v>3</v>
      </c>
      <c r="D461" s="89">
        <v>4</v>
      </c>
      <c r="E461" s="11">
        <v>5</v>
      </c>
      <c r="F461" s="89">
        <v>6</v>
      </c>
      <c r="G461" s="96" t="s">
        <v>37</v>
      </c>
      <c r="H461" s="97"/>
    </row>
    <row r="462" spans="1:8" ht="60.75" thickBot="1" x14ac:dyDescent="0.3">
      <c r="A462" s="2" t="s">
        <v>7</v>
      </c>
      <c r="B462" s="6">
        <f>B463</f>
        <v>70345.600000000006</v>
      </c>
      <c r="C462" s="12"/>
      <c r="D462" s="6">
        <f>D463</f>
        <v>22214.399999999994</v>
      </c>
      <c r="E462" s="8" t="s">
        <v>8</v>
      </c>
      <c r="F462" s="8" t="s">
        <v>8</v>
      </c>
      <c r="G462" s="90">
        <f>97111-1349-3202</f>
        <v>92560</v>
      </c>
      <c r="H462" s="91"/>
    </row>
    <row r="463" spans="1:8" ht="15.75" thickBot="1" x14ac:dyDescent="0.3">
      <c r="A463" s="3" t="s">
        <v>9</v>
      </c>
      <c r="B463" s="6">
        <f>G463*76%</f>
        <v>70345.600000000006</v>
      </c>
      <c r="C463" s="12"/>
      <c r="D463" s="84">
        <f>G463-B463</f>
        <v>22214.399999999994</v>
      </c>
      <c r="E463" s="8" t="s">
        <v>8</v>
      </c>
      <c r="F463" s="8" t="s">
        <v>8</v>
      </c>
      <c r="G463" s="90">
        <f>G462-G464</f>
        <v>92560</v>
      </c>
      <c r="H463" s="91"/>
    </row>
    <row r="464" spans="1:8" ht="15.75" thickBot="1" x14ac:dyDescent="0.3">
      <c r="A464" s="2" t="s">
        <v>10</v>
      </c>
      <c r="B464" s="6">
        <v>0</v>
      </c>
      <c r="C464" s="12"/>
      <c r="D464" s="6">
        <v>0</v>
      </c>
      <c r="E464" s="8" t="s">
        <v>8</v>
      </c>
      <c r="F464" s="8" t="s">
        <v>8</v>
      </c>
      <c r="G464" s="90"/>
      <c r="H464" s="91"/>
    </row>
    <row r="465" spans="1:9" ht="60.75" thickBot="1" x14ac:dyDescent="0.3">
      <c r="A465" s="2" t="s">
        <v>11</v>
      </c>
      <c r="B465" s="6">
        <f>G465*76%</f>
        <v>18730.96</v>
      </c>
      <c r="C465" s="12"/>
      <c r="D465" s="84">
        <f>G465-B465</f>
        <v>5915.0400000000009</v>
      </c>
      <c r="E465" s="8" t="s">
        <v>8</v>
      </c>
      <c r="F465" s="8" t="s">
        <v>8</v>
      </c>
      <c r="G465" s="90">
        <f>24929-283</f>
        <v>24646</v>
      </c>
      <c r="H465" s="91"/>
    </row>
    <row r="466" spans="1:9" ht="30.75" thickBot="1" x14ac:dyDescent="0.3">
      <c r="A466" s="2" t="s">
        <v>12</v>
      </c>
      <c r="B466" s="6">
        <f>G466*76%</f>
        <v>3673.84</v>
      </c>
      <c r="C466" s="12"/>
      <c r="D466" s="84">
        <f>G466-B466</f>
        <v>1160.1599999999999</v>
      </c>
      <c r="E466" s="8" t="s">
        <v>8</v>
      </c>
      <c r="F466" s="8" t="s">
        <v>8</v>
      </c>
      <c r="G466" s="90">
        <f>283+1349+3202</f>
        <v>4834</v>
      </c>
      <c r="H466" s="91"/>
      <c r="I466" s="10"/>
    </row>
    <row r="467" spans="1:9" ht="15.75" thickBot="1" x14ac:dyDescent="0.3">
      <c r="A467" s="2" t="s">
        <v>13</v>
      </c>
      <c r="B467" s="6">
        <f>G467*56%</f>
        <v>0</v>
      </c>
      <c r="C467" s="6"/>
      <c r="D467" s="84">
        <f>G467-B467</f>
        <v>0</v>
      </c>
      <c r="E467" s="8" t="s">
        <v>8</v>
      </c>
      <c r="F467" s="8" t="s">
        <v>8</v>
      </c>
      <c r="G467" s="90">
        <v>0</v>
      </c>
      <c r="H467" s="91"/>
    </row>
    <row r="468" spans="1:9" ht="30.75" thickBot="1" x14ac:dyDescent="0.3">
      <c r="A468" s="2" t="s">
        <v>14</v>
      </c>
      <c r="B468" s="6">
        <f>G468*56%</f>
        <v>1495.2</v>
      </c>
      <c r="C468" s="6"/>
      <c r="D468" s="84">
        <f>G468-B468</f>
        <v>1174.8</v>
      </c>
      <c r="E468" s="8" t="s">
        <v>8</v>
      </c>
      <c r="F468" s="8" t="s">
        <v>8</v>
      </c>
      <c r="G468" s="90">
        <v>2670</v>
      </c>
      <c r="H468" s="91"/>
      <c r="I468" s="10"/>
    </row>
    <row r="469" spans="1:9" ht="45.75" thickBot="1" x14ac:dyDescent="0.3">
      <c r="A469" s="2" t="s">
        <v>15</v>
      </c>
      <c r="B469" s="8" t="s">
        <v>8</v>
      </c>
      <c r="C469" s="8" t="s">
        <v>8</v>
      </c>
      <c r="D469" s="6"/>
      <c r="E469" s="8" t="s">
        <v>8</v>
      </c>
      <c r="F469" s="8" t="s">
        <v>8</v>
      </c>
      <c r="G469" s="90"/>
      <c r="H469" s="91"/>
    </row>
    <row r="470" spans="1:9" ht="15.75" thickBot="1" x14ac:dyDescent="0.3">
      <c r="A470" s="2" t="s">
        <v>16</v>
      </c>
      <c r="B470" s="8" t="s">
        <v>8</v>
      </c>
      <c r="C470" s="8" t="s">
        <v>8</v>
      </c>
      <c r="D470" s="12"/>
      <c r="E470" s="6">
        <v>0</v>
      </c>
      <c r="F470" s="6"/>
      <c r="G470" s="90">
        <v>9000</v>
      </c>
      <c r="H470" s="91"/>
    </row>
    <row r="471" spans="1:9" ht="15.75" thickBot="1" x14ac:dyDescent="0.3">
      <c r="A471" s="3" t="s">
        <v>17</v>
      </c>
      <c r="B471" s="6">
        <f>G471*56%</f>
        <v>0</v>
      </c>
      <c r="C471" s="8"/>
      <c r="D471" s="6"/>
      <c r="E471" s="6">
        <f>G471-B471</f>
        <v>0</v>
      </c>
      <c r="F471" s="6"/>
      <c r="G471" s="90">
        <v>0</v>
      </c>
      <c r="H471" s="91"/>
    </row>
    <row r="472" spans="1:9" ht="15.75" thickBot="1" x14ac:dyDescent="0.3">
      <c r="A472" s="3" t="s">
        <v>18</v>
      </c>
      <c r="B472" s="6"/>
      <c r="C472" s="8"/>
      <c r="D472" s="8"/>
      <c r="E472" s="6"/>
      <c r="F472" s="6"/>
      <c r="G472" s="90"/>
      <c r="H472" s="91"/>
    </row>
    <row r="473" spans="1:9" ht="45.75" thickBot="1" x14ac:dyDescent="0.3">
      <c r="A473" s="2" t="s">
        <v>19</v>
      </c>
      <c r="B473" s="6"/>
      <c r="C473" s="8"/>
      <c r="D473" s="6"/>
      <c r="E473" s="6"/>
      <c r="F473" s="6"/>
      <c r="G473" s="94"/>
      <c r="H473" s="95"/>
    </row>
    <row r="474" spans="1:9" ht="45.75" thickBot="1" x14ac:dyDescent="0.3">
      <c r="A474" s="2" t="s">
        <v>20</v>
      </c>
      <c r="B474" s="6">
        <f>G474*56%</f>
        <v>36.96</v>
      </c>
      <c r="C474" s="8"/>
      <c r="D474" s="6"/>
      <c r="E474" s="6">
        <f>G474-B474</f>
        <v>29.04</v>
      </c>
      <c r="F474" s="6"/>
      <c r="G474" s="90">
        <v>66</v>
      </c>
      <c r="H474" s="91"/>
    </row>
    <row r="475" spans="1:9" ht="30.75" thickBot="1" x14ac:dyDescent="0.3">
      <c r="A475" s="2" t="s">
        <v>21</v>
      </c>
      <c r="B475" s="6">
        <f>G475*56%</f>
        <v>2320.6400000000003</v>
      </c>
      <c r="C475" s="6"/>
      <c r="D475" s="84">
        <f>G475-B475</f>
        <v>1823.3599999999997</v>
      </c>
      <c r="E475" s="8" t="s">
        <v>8</v>
      </c>
      <c r="F475" s="8" t="s">
        <v>8</v>
      </c>
      <c r="G475" s="90">
        <f>3692+294+158</f>
        <v>4144</v>
      </c>
      <c r="H475" s="91"/>
    </row>
    <row r="476" spans="1:9" ht="15.75" thickBot="1" x14ac:dyDescent="0.3">
      <c r="A476" s="3" t="s">
        <v>22</v>
      </c>
      <c r="B476" s="6">
        <f>G476*56%</f>
        <v>207.76000000000002</v>
      </c>
      <c r="C476" s="6"/>
      <c r="D476" s="84">
        <f>G476-B476</f>
        <v>163.23999999999998</v>
      </c>
      <c r="E476" s="8" t="s">
        <v>8</v>
      </c>
      <c r="F476" s="8" t="s">
        <v>8</v>
      </c>
      <c r="G476" s="90">
        <f>353+18</f>
        <v>371</v>
      </c>
      <c r="H476" s="91"/>
    </row>
    <row r="477" spans="1:9" ht="15.75" thickBot="1" x14ac:dyDescent="0.3">
      <c r="A477" s="3" t="s">
        <v>23</v>
      </c>
      <c r="B477" s="8" t="s">
        <v>8</v>
      </c>
      <c r="C477" s="12"/>
      <c r="D477" s="8" t="s">
        <v>8</v>
      </c>
      <c r="E477" s="8" t="s">
        <v>8</v>
      </c>
      <c r="F477" s="8" t="s">
        <v>8</v>
      </c>
      <c r="G477" s="94"/>
      <c r="H477" s="95"/>
    </row>
    <row r="478" spans="1:9" ht="15.75" thickBot="1" x14ac:dyDescent="0.3">
      <c r="A478" s="3" t="s">
        <v>24</v>
      </c>
      <c r="B478" s="6">
        <f>G478*56%</f>
        <v>0</v>
      </c>
      <c r="C478" s="6"/>
      <c r="D478" s="6"/>
      <c r="E478" s="8" t="s">
        <v>8</v>
      </c>
      <c r="F478" s="8" t="s">
        <v>8</v>
      </c>
      <c r="G478" s="90"/>
      <c r="H478" s="91"/>
    </row>
    <row r="479" spans="1:9" ht="15.75" thickBot="1" x14ac:dyDescent="0.3">
      <c r="A479" s="4" t="s">
        <v>25</v>
      </c>
      <c r="B479" s="6">
        <f>SUM(B463:B478)</f>
        <v>96810.959999999992</v>
      </c>
      <c r="C479" s="6"/>
      <c r="D479" s="6">
        <f>SUM(D463:D478)</f>
        <v>32450.999999999996</v>
      </c>
      <c r="E479" s="6">
        <f>SUM(E463:E478)</f>
        <v>29.04</v>
      </c>
      <c r="F479" s="6"/>
      <c r="G479" s="90">
        <f>SUM(G463:H478)</f>
        <v>138291</v>
      </c>
      <c r="H479" s="91"/>
    </row>
    <row r="480" spans="1:9" x14ac:dyDescent="0.25">
      <c r="A480" s="92" t="s">
        <v>26</v>
      </c>
      <c r="B480" s="92"/>
      <c r="C480" s="92"/>
      <c r="D480" s="92"/>
      <c r="E480" s="92"/>
      <c r="F480" s="92"/>
      <c r="G480" s="92"/>
      <c r="H480" s="92"/>
    </row>
    <row r="481" spans="1:8" x14ac:dyDescent="0.25">
      <c r="A481" s="93" t="s">
        <v>27</v>
      </c>
      <c r="B481" s="93"/>
      <c r="C481" s="93"/>
      <c r="D481" s="93"/>
      <c r="E481" s="93"/>
      <c r="F481" s="93"/>
      <c r="G481" s="93"/>
      <c r="H481" s="93"/>
    </row>
    <row r="482" spans="1:8" x14ac:dyDescent="0.25">
      <c r="A482" s="93" t="s">
        <v>28</v>
      </c>
      <c r="B482" s="93"/>
      <c r="C482" s="93"/>
      <c r="D482" s="93"/>
      <c r="E482" s="93"/>
      <c r="F482" s="93"/>
      <c r="G482" s="93"/>
      <c r="H482" s="93"/>
    </row>
    <row r="483" spans="1:8" x14ac:dyDescent="0.25">
      <c r="A483" s="1"/>
      <c r="B483" s="9"/>
      <c r="C483" s="9"/>
      <c r="D483" s="9"/>
      <c r="E483" s="9"/>
      <c r="F483" s="9"/>
      <c r="G483" s="9"/>
      <c r="H483" s="9"/>
    </row>
    <row r="484" spans="1:8" ht="15.75" x14ac:dyDescent="0.25">
      <c r="A484" s="5"/>
    </row>
    <row r="485" spans="1:8" x14ac:dyDescent="0.25">
      <c r="B485" s="13" t="s">
        <v>41</v>
      </c>
      <c r="C485" s="13">
        <v>124171</v>
      </c>
    </row>
    <row r="486" spans="1:8" x14ac:dyDescent="0.25">
      <c r="C486" s="10">
        <f>C485-B479</f>
        <v>27360.040000000008</v>
      </c>
    </row>
    <row r="488" spans="1:8" x14ac:dyDescent="0.25">
      <c r="A488" s="85"/>
      <c r="B488" s="86"/>
      <c r="C488" s="86"/>
      <c r="D488" s="86"/>
      <c r="E488" s="112" t="s">
        <v>29</v>
      </c>
      <c r="F488" s="112"/>
      <c r="G488" s="112"/>
      <c r="H488" s="112"/>
    </row>
    <row r="489" spans="1:8" x14ac:dyDescent="0.25">
      <c r="A489" s="113"/>
      <c r="B489" s="114"/>
      <c r="C489" s="114"/>
      <c r="D489" s="115"/>
      <c r="E489" s="115" t="s">
        <v>0</v>
      </c>
      <c r="F489" s="115"/>
      <c r="G489" s="115"/>
      <c r="H489" s="115"/>
    </row>
    <row r="490" spans="1:8" x14ac:dyDescent="0.25">
      <c r="A490" s="113"/>
      <c r="B490" s="114"/>
      <c r="C490" s="114"/>
      <c r="D490" s="115"/>
      <c r="E490" s="115" t="s">
        <v>1</v>
      </c>
      <c r="F490" s="115"/>
      <c r="G490" s="115"/>
      <c r="H490" s="115"/>
    </row>
    <row r="491" spans="1:8" ht="15.75" thickBot="1" x14ac:dyDescent="0.3">
      <c r="A491" s="98" t="s">
        <v>76</v>
      </c>
      <c r="B491" s="98"/>
      <c r="C491" s="98"/>
      <c r="D491" s="98"/>
      <c r="E491" s="98"/>
      <c r="F491" s="98"/>
      <c r="G491" s="99"/>
      <c r="H491" s="99"/>
    </row>
    <row r="492" spans="1:8" ht="15.75" thickBot="1" x14ac:dyDescent="0.3">
      <c r="A492" s="100" t="s">
        <v>2</v>
      </c>
      <c r="B492" s="103" t="s">
        <v>30</v>
      </c>
      <c r="C492" s="104"/>
      <c r="D492" s="104"/>
      <c r="E492" s="104"/>
      <c r="F492" s="104"/>
      <c r="G492" s="105" t="s">
        <v>3</v>
      </c>
      <c r="H492" s="106"/>
    </row>
    <row r="493" spans="1:8" ht="105.75" thickBot="1" x14ac:dyDescent="0.3">
      <c r="A493" s="101"/>
      <c r="B493" s="96" t="s">
        <v>30</v>
      </c>
      <c r="C493" s="107"/>
      <c r="D493" s="83" t="s">
        <v>32</v>
      </c>
      <c r="E493" s="107" t="s">
        <v>4</v>
      </c>
      <c r="F493" s="97"/>
      <c r="G493" s="108"/>
      <c r="H493" s="109"/>
    </row>
    <row r="494" spans="1:8" ht="150.75" thickBot="1" x14ac:dyDescent="0.3">
      <c r="A494" s="102"/>
      <c r="B494" s="89" t="s">
        <v>36</v>
      </c>
      <c r="C494" s="89" t="s">
        <v>5</v>
      </c>
      <c r="D494" s="89" t="s">
        <v>33</v>
      </c>
      <c r="E494" s="89" t="s">
        <v>34</v>
      </c>
      <c r="F494" s="89" t="s">
        <v>35</v>
      </c>
      <c r="G494" s="110"/>
      <c r="H494" s="111"/>
    </row>
    <row r="495" spans="1:8" ht="15.75" thickBot="1" x14ac:dyDescent="0.3">
      <c r="A495" s="82">
        <v>1</v>
      </c>
      <c r="B495" s="89">
        <v>2</v>
      </c>
      <c r="C495" s="11">
        <v>3</v>
      </c>
      <c r="D495" s="89">
        <v>4</v>
      </c>
      <c r="E495" s="11">
        <v>5</v>
      </c>
      <c r="F495" s="89">
        <v>6</v>
      </c>
      <c r="G495" s="96" t="s">
        <v>37</v>
      </c>
      <c r="H495" s="97"/>
    </row>
    <row r="496" spans="1:8" ht="60.75" thickBot="1" x14ac:dyDescent="0.3">
      <c r="A496" s="2" t="s">
        <v>7</v>
      </c>
      <c r="B496" s="6">
        <f>B497</f>
        <v>77744.960000000006</v>
      </c>
      <c r="C496" s="12"/>
      <c r="D496" s="6">
        <f>D497</f>
        <v>24551.039999999994</v>
      </c>
      <c r="E496" s="8" t="s">
        <v>8</v>
      </c>
      <c r="F496" s="8" t="s">
        <v>8</v>
      </c>
      <c r="G496" s="90">
        <f>106982-1377-3309</f>
        <v>102296</v>
      </c>
      <c r="H496" s="91"/>
    </row>
    <row r="497" spans="1:8" ht="15.75" thickBot="1" x14ac:dyDescent="0.3">
      <c r="A497" s="3" t="s">
        <v>9</v>
      </c>
      <c r="B497" s="6">
        <f>G497*76%</f>
        <v>77744.960000000006</v>
      </c>
      <c r="C497" s="12"/>
      <c r="D497" s="84">
        <f>G497-B497</f>
        <v>24551.039999999994</v>
      </c>
      <c r="E497" s="8" t="s">
        <v>8</v>
      </c>
      <c r="F497" s="8" t="s">
        <v>8</v>
      </c>
      <c r="G497" s="90">
        <f>G496-G498</f>
        <v>102296</v>
      </c>
      <c r="H497" s="91"/>
    </row>
    <row r="498" spans="1:8" ht="15.75" thickBot="1" x14ac:dyDescent="0.3">
      <c r="A498" s="2" t="s">
        <v>10</v>
      </c>
      <c r="B498" s="6">
        <v>0</v>
      </c>
      <c r="C498" s="12"/>
      <c r="D498" s="6">
        <v>0</v>
      </c>
      <c r="E498" s="8" t="s">
        <v>8</v>
      </c>
      <c r="F498" s="8" t="s">
        <v>8</v>
      </c>
      <c r="G498" s="90"/>
      <c r="H498" s="91"/>
    </row>
    <row r="499" spans="1:8" ht="60.75" thickBot="1" x14ac:dyDescent="0.3">
      <c r="A499" s="2" t="s">
        <v>11</v>
      </c>
      <c r="B499" s="6">
        <f>G499*76%</f>
        <v>21323.32</v>
      </c>
      <c r="C499" s="12"/>
      <c r="D499" s="84">
        <f>G499-B499</f>
        <v>6733.68</v>
      </c>
      <c r="E499" s="8" t="s">
        <v>8</v>
      </c>
      <c r="F499" s="8" t="s">
        <v>8</v>
      </c>
      <c r="G499" s="90">
        <f>28881-526-298</f>
        <v>28057</v>
      </c>
      <c r="H499" s="91"/>
    </row>
    <row r="500" spans="1:8" ht="30.75" thickBot="1" x14ac:dyDescent="0.3">
      <c r="A500" s="2" t="s">
        <v>12</v>
      </c>
      <c r="B500" s="6">
        <f>G500*76%</f>
        <v>4187.6000000000004</v>
      </c>
      <c r="C500" s="12"/>
      <c r="D500" s="84">
        <f>G500-B500</f>
        <v>1322.3999999999996</v>
      </c>
      <c r="E500" s="8" t="s">
        <v>8</v>
      </c>
      <c r="F500" s="8" t="s">
        <v>8</v>
      </c>
      <c r="G500" s="90">
        <f>3309+1377+526+298</f>
        <v>5510</v>
      </c>
      <c r="H500" s="91"/>
    </row>
    <row r="501" spans="1:8" ht="15.75" thickBot="1" x14ac:dyDescent="0.3">
      <c r="A501" s="2" t="s">
        <v>13</v>
      </c>
      <c r="B501" s="6">
        <f>G501*56%</f>
        <v>0</v>
      </c>
      <c r="C501" s="6"/>
      <c r="D501" s="84">
        <f>G501-B501</f>
        <v>0</v>
      </c>
      <c r="E501" s="8" t="s">
        <v>8</v>
      </c>
      <c r="F501" s="8" t="s">
        <v>8</v>
      </c>
      <c r="G501" s="90">
        <v>0</v>
      </c>
      <c r="H501" s="91"/>
    </row>
    <row r="502" spans="1:8" ht="30.75" thickBot="1" x14ac:dyDescent="0.3">
      <c r="A502" s="2" t="s">
        <v>14</v>
      </c>
      <c r="B502" s="6">
        <f>G502*56%</f>
        <v>1495.2</v>
      </c>
      <c r="C502" s="6"/>
      <c r="D502" s="84">
        <f>G502-B502</f>
        <v>1174.8</v>
      </c>
      <c r="E502" s="8" t="s">
        <v>8</v>
      </c>
      <c r="F502" s="8" t="s">
        <v>8</v>
      </c>
      <c r="G502" s="90">
        <v>2670</v>
      </c>
      <c r="H502" s="91"/>
    </row>
    <row r="503" spans="1:8" ht="45.75" thickBot="1" x14ac:dyDescent="0.3">
      <c r="A503" s="2" t="s">
        <v>15</v>
      </c>
      <c r="B503" s="8" t="s">
        <v>8</v>
      </c>
      <c r="C503" s="8" t="s">
        <v>8</v>
      </c>
      <c r="D503" s="6"/>
      <c r="E503" s="8" t="s">
        <v>8</v>
      </c>
      <c r="F503" s="8" t="s">
        <v>8</v>
      </c>
      <c r="G503" s="90"/>
      <c r="H503" s="91"/>
    </row>
    <row r="504" spans="1:8" ht="15.75" thickBot="1" x14ac:dyDescent="0.3">
      <c r="A504" s="2" t="s">
        <v>16</v>
      </c>
      <c r="B504" s="8" t="s">
        <v>8</v>
      </c>
      <c r="C504" s="8" t="s">
        <v>8</v>
      </c>
      <c r="D504" s="12"/>
      <c r="E504" s="6">
        <v>0</v>
      </c>
      <c r="F504" s="6"/>
      <c r="G504" s="90">
        <v>10500</v>
      </c>
      <c r="H504" s="91"/>
    </row>
    <row r="505" spans="1:8" ht="15.75" thickBot="1" x14ac:dyDescent="0.3">
      <c r="A505" s="3" t="s">
        <v>17</v>
      </c>
      <c r="B505" s="6">
        <f>G505*56%</f>
        <v>0</v>
      </c>
      <c r="C505" s="8"/>
      <c r="D505" s="6"/>
      <c r="E505" s="6">
        <f>G505-B505</f>
        <v>0</v>
      </c>
      <c r="F505" s="6"/>
      <c r="G505" s="90">
        <v>0</v>
      </c>
      <c r="H505" s="91"/>
    </row>
    <row r="506" spans="1:8" ht="15.75" thickBot="1" x14ac:dyDescent="0.3">
      <c r="A506" s="3" t="s">
        <v>18</v>
      </c>
      <c r="B506" s="6"/>
      <c r="C506" s="8"/>
      <c r="D506" s="8"/>
      <c r="E506" s="6"/>
      <c r="F506" s="6"/>
      <c r="G506" s="90"/>
      <c r="H506" s="91"/>
    </row>
    <row r="507" spans="1:8" ht="45.75" thickBot="1" x14ac:dyDescent="0.3">
      <c r="A507" s="2" t="s">
        <v>19</v>
      </c>
      <c r="B507" s="6"/>
      <c r="C507" s="8"/>
      <c r="D507" s="6"/>
      <c r="E507" s="6"/>
      <c r="F507" s="6"/>
      <c r="G507" s="94"/>
      <c r="H507" s="95"/>
    </row>
    <row r="508" spans="1:8" ht="45.75" thickBot="1" x14ac:dyDescent="0.3">
      <c r="A508" s="2" t="s">
        <v>20</v>
      </c>
      <c r="B508" s="6">
        <f>G508*56%</f>
        <v>43.120000000000005</v>
      </c>
      <c r="C508" s="8"/>
      <c r="D508" s="6"/>
      <c r="E508" s="6">
        <f>G508-B508</f>
        <v>33.879999999999995</v>
      </c>
      <c r="F508" s="6"/>
      <c r="G508" s="90">
        <v>77</v>
      </c>
      <c r="H508" s="91"/>
    </row>
    <row r="509" spans="1:8" ht="30.75" thickBot="1" x14ac:dyDescent="0.3">
      <c r="A509" s="2" t="s">
        <v>21</v>
      </c>
      <c r="B509" s="6">
        <f>G509*56%</f>
        <v>2531.7600000000002</v>
      </c>
      <c r="C509" s="6"/>
      <c r="D509" s="84">
        <f>G509-B509</f>
        <v>1989.2399999999998</v>
      </c>
      <c r="E509" s="8" t="s">
        <v>8</v>
      </c>
      <c r="F509" s="8" t="s">
        <v>8</v>
      </c>
      <c r="G509" s="90">
        <f>294+4069+158</f>
        <v>4521</v>
      </c>
      <c r="H509" s="91"/>
    </row>
    <row r="510" spans="1:8" ht="15.75" thickBot="1" x14ac:dyDescent="0.3">
      <c r="A510" s="3" t="s">
        <v>22</v>
      </c>
      <c r="B510" s="6">
        <f>G510*56%</f>
        <v>219.52</v>
      </c>
      <c r="C510" s="6"/>
      <c r="D510" s="84">
        <f>G510-B510</f>
        <v>172.48</v>
      </c>
      <c r="E510" s="8" t="s">
        <v>8</v>
      </c>
      <c r="F510" s="8" t="s">
        <v>8</v>
      </c>
      <c r="G510" s="90">
        <f>18+374</f>
        <v>392</v>
      </c>
      <c r="H510" s="91"/>
    </row>
    <row r="511" spans="1:8" ht="15.75" thickBot="1" x14ac:dyDescent="0.3">
      <c r="A511" s="3" t="s">
        <v>23</v>
      </c>
      <c r="B511" s="8" t="s">
        <v>8</v>
      </c>
      <c r="C511" s="12"/>
      <c r="D511" s="8" t="s">
        <v>8</v>
      </c>
      <c r="E511" s="8" t="s">
        <v>8</v>
      </c>
      <c r="F511" s="8" t="s">
        <v>8</v>
      </c>
      <c r="G511" s="94"/>
      <c r="H511" s="95"/>
    </row>
    <row r="512" spans="1:8" ht="15.75" thickBot="1" x14ac:dyDescent="0.3">
      <c r="A512" s="3" t="s">
        <v>24</v>
      </c>
      <c r="B512" s="6">
        <f>G512*56%</f>
        <v>0</v>
      </c>
      <c r="C512" s="6"/>
      <c r="D512" s="6"/>
      <c r="E512" s="8" t="s">
        <v>8</v>
      </c>
      <c r="F512" s="8" t="s">
        <v>8</v>
      </c>
      <c r="G512" s="90"/>
      <c r="H512" s="91"/>
    </row>
    <row r="513" spans="1:8" ht="15.75" thickBot="1" x14ac:dyDescent="0.3">
      <c r="A513" s="4" t="s">
        <v>25</v>
      </c>
      <c r="B513" s="6">
        <f>SUM(B497:B512)</f>
        <v>107545.48</v>
      </c>
      <c r="C513" s="6"/>
      <c r="D513" s="6">
        <f>SUM(D497:D512)</f>
        <v>35943.64</v>
      </c>
      <c r="E513" s="6">
        <f>SUM(E497:E512)</f>
        <v>33.879999999999995</v>
      </c>
      <c r="F513" s="6"/>
      <c r="G513" s="90">
        <f>SUM(G497:H512)</f>
        <v>154023</v>
      </c>
      <c r="H513" s="91"/>
    </row>
    <row r="514" spans="1:8" x14ac:dyDescent="0.25">
      <c r="A514" s="92" t="s">
        <v>26</v>
      </c>
      <c r="B514" s="92"/>
      <c r="C514" s="92"/>
      <c r="D514" s="92"/>
      <c r="E514" s="92"/>
      <c r="F514" s="92"/>
      <c r="G514" s="92"/>
      <c r="H514" s="92"/>
    </row>
    <row r="515" spans="1:8" x14ac:dyDescent="0.25">
      <c r="A515" s="93" t="s">
        <v>27</v>
      </c>
      <c r="B515" s="93"/>
      <c r="C515" s="93"/>
      <c r="D515" s="93"/>
      <c r="E515" s="93"/>
      <c r="F515" s="93"/>
      <c r="G515" s="93"/>
      <c r="H515" s="93"/>
    </row>
    <row r="516" spans="1:8" x14ac:dyDescent="0.25">
      <c r="A516" s="93" t="s">
        <v>28</v>
      </c>
      <c r="B516" s="93"/>
      <c r="C516" s="93"/>
      <c r="D516" s="93"/>
      <c r="E516" s="93"/>
      <c r="F516" s="93"/>
      <c r="G516" s="93"/>
      <c r="H516" s="93"/>
    </row>
    <row r="517" spans="1:8" x14ac:dyDescent="0.25">
      <c r="A517" s="1"/>
      <c r="B517" s="9"/>
      <c r="C517" s="9"/>
      <c r="D517" s="9"/>
      <c r="E517" s="9"/>
      <c r="F517" s="9"/>
      <c r="G517" s="9"/>
      <c r="H517" s="9"/>
    </row>
    <row r="518" spans="1:8" ht="15.75" x14ac:dyDescent="0.25">
      <c r="A518" s="5"/>
    </row>
    <row r="519" spans="1:8" x14ac:dyDescent="0.25">
      <c r="B519" s="13" t="s">
        <v>77</v>
      </c>
      <c r="C519" s="13">
        <v>139226</v>
      </c>
    </row>
    <row r="520" spans="1:8" x14ac:dyDescent="0.25">
      <c r="C520" s="10">
        <f>C519-B513</f>
        <v>31680.520000000004</v>
      </c>
    </row>
    <row r="523" spans="1:8" x14ac:dyDescent="0.25">
      <c r="A523" s="85"/>
      <c r="B523" s="86"/>
      <c r="C523" s="86"/>
      <c r="D523" s="86"/>
      <c r="E523" s="112" t="s">
        <v>29</v>
      </c>
      <c r="F523" s="112"/>
      <c r="G523" s="112"/>
      <c r="H523" s="112"/>
    </row>
    <row r="524" spans="1:8" x14ac:dyDescent="0.25">
      <c r="A524" s="113"/>
      <c r="B524" s="114"/>
      <c r="C524" s="114"/>
      <c r="D524" s="115"/>
      <c r="E524" s="115" t="s">
        <v>0</v>
      </c>
      <c r="F524" s="115"/>
      <c r="G524" s="115"/>
      <c r="H524" s="115"/>
    </row>
    <row r="525" spans="1:8" x14ac:dyDescent="0.25">
      <c r="A525" s="113"/>
      <c r="B525" s="114"/>
      <c r="C525" s="114"/>
      <c r="D525" s="115"/>
      <c r="E525" s="115" t="s">
        <v>1</v>
      </c>
      <c r="F525" s="115"/>
      <c r="G525" s="115"/>
      <c r="H525" s="115"/>
    </row>
    <row r="526" spans="1:8" ht="15.75" thickBot="1" x14ac:dyDescent="0.3">
      <c r="A526" s="98" t="s">
        <v>78</v>
      </c>
      <c r="B526" s="98"/>
      <c r="C526" s="98"/>
      <c r="D526" s="98"/>
      <c r="E526" s="98"/>
      <c r="F526" s="98"/>
      <c r="G526" s="99"/>
      <c r="H526" s="99"/>
    </row>
    <row r="527" spans="1:8" ht="15.75" thickBot="1" x14ac:dyDescent="0.3">
      <c r="A527" s="100" t="s">
        <v>2</v>
      </c>
      <c r="B527" s="103" t="s">
        <v>30</v>
      </c>
      <c r="C527" s="104"/>
      <c r="D527" s="104"/>
      <c r="E527" s="104"/>
      <c r="F527" s="104"/>
      <c r="G527" s="105" t="s">
        <v>3</v>
      </c>
      <c r="H527" s="106"/>
    </row>
    <row r="528" spans="1:8" ht="105.75" thickBot="1" x14ac:dyDescent="0.3">
      <c r="A528" s="101"/>
      <c r="B528" s="96" t="s">
        <v>30</v>
      </c>
      <c r="C528" s="107"/>
      <c r="D528" s="83" t="s">
        <v>32</v>
      </c>
      <c r="E528" s="107" t="s">
        <v>4</v>
      </c>
      <c r="F528" s="97"/>
      <c r="G528" s="108"/>
      <c r="H528" s="109"/>
    </row>
    <row r="529" spans="1:8" ht="150.75" thickBot="1" x14ac:dyDescent="0.3">
      <c r="A529" s="102"/>
      <c r="B529" s="89" t="s">
        <v>36</v>
      </c>
      <c r="C529" s="89" t="s">
        <v>5</v>
      </c>
      <c r="D529" s="89" t="s">
        <v>33</v>
      </c>
      <c r="E529" s="89" t="s">
        <v>34</v>
      </c>
      <c r="F529" s="89" t="s">
        <v>35</v>
      </c>
      <c r="G529" s="110"/>
      <c r="H529" s="111"/>
    </row>
    <row r="530" spans="1:8" ht="15.75" thickBot="1" x14ac:dyDescent="0.3">
      <c r="A530" s="82">
        <v>1</v>
      </c>
      <c r="B530" s="89">
        <v>2</v>
      </c>
      <c r="C530" s="11">
        <v>3</v>
      </c>
      <c r="D530" s="89">
        <v>4</v>
      </c>
      <c r="E530" s="11">
        <v>5</v>
      </c>
      <c r="F530" s="89">
        <v>6</v>
      </c>
      <c r="G530" s="96" t="s">
        <v>37</v>
      </c>
      <c r="H530" s="97"/>
    </row>
    <row r="531" spans="1:8" ht="60.75" thickBot="1" x14ac:dyDescent="0.3">
      <c r="A531" s="2" t="s">
        <v>7</v>
      </c>
      <c r="B531" s="6">
        <f>B532</f>
        <v>85303.92</v>
      </c>
      <c r="C531" s="12"/>
      <c r="D531" s="6">
        <f>D532</f>
        <v>26938.080000000002</v>
      </c>
      <c r="E531" s="8" t="s">
        <v>8</v>
      </c>
      <c r="F531" s="8" t="s">
        <v>8</v>
      </c>
      <c r="G531" s="90">
        <f>116946-1395-3309</f>
        <v>112242</v>
      </c>
      <c r="H531" s="91"/>
    </row>
    <row r="532" spans="1:8" ht="15.75" thickBot="1" x14ac:dyDescent="0.3">
      <c r="A532" s="3" t="s">
        <v>9</v>
      </c>
      <c r="B532" s="6">
        <f>G532*76%</f>
        <v>85303.92</v>
      </c>
      <c r="C532" s="12"/>
      <c r="D532" s="84">
        <f>G532-B532</f>
        <v>26938.080000000002</v>
      </c>
      <c r="E532" s="8" t="s">
        <v>8</v>
      </c>
      <c r="F532" s="8" t="s">
        <v>8</v>
      </c>
      <c r="G532" s="90">
        <f>G531-G533</f>
        <v>112242</v>
      </c>
      <c r="H532" s="91"/>
    </row>
    <row r="533" spans="1:8" ht="15.75" thickBot="1" x14ac:dyDescent="0.3">
      <c r="A533" s="2" t="s">
        <v>10</v>
      </c>
      <c r="B533" s="6">
        <v>0</v>
      </c>
      <c r="C533" s="12"/>
      <c r="D533" s="6">
        <v>0</v>
      </c>
      <c r="E533" s="8" t="s">
        <v>8</v>
      </c>
      <c r="F533" s="8" t="s">
        <v>8</v>
      </c>
      <c r="G533" s="90"/>
      <c r="H533" s="91"/>
    </row>
    <row r="534" spans="1:8" ht="60.75" thickBot="1" x14ac:dyDescent="0.3">
      <c r="A534" s="2" t="s">
        <v>11</v>
      </c>
      <c r="B534" s="6">
        <f>G534*76%</f>
        <v>24660.48</v>
      </c>
      <c r="C534" s="12"/>
      <c r="D534" s="84">
        <f>G534-B534</f>
        <v>7787.52</v>
      </c>
      <c r="E534" s="8" t="s">
        <v>8</v>
      </c>
      <c r="F534" s="8" t="s">
        <v>8</v>
      </c>
      <c r="G534" s="90">
        <f>32758-310</f>
        <v>32448</v>
      </c>
      <c r="H534" s="91"/>
    </row>
    <row r="535" spans="1:8" ht="30.75" thickBot="1" x14ac:dyDescent="0.3">
      <c r="A535" s="2" t="s">
        <v>12</v>
      </c>
      <c r="B535" s="6">
        <f>G535*76%</f>
        <v>3810.64</v>
      </c>
      <c r="C535" s="12"/>
      <c r="D535" s="84">
        <f>G535-B535</f>
        <v>1203.3600000000001</v>
      </c>
      <c r="E535" s="8" t="s">
        <v>8</v>
      </c>
      <c r="F535" s="8" t="s">
        <v>8</v>
      </c>
      <c r="G535" s="90">
        <f>1395+3309+310</f>
        <v>5014</v>
      </c>
      <c r="H535" s="91"/>
    </row>
    <row r="536" spans="1:8" ht="15.75" thickBot="1" x14ac:dyDescent="0.3">
      <c r="A536" s="2" t="s">
        <v>13</v>
      </c>
      <c r="B536" s="6">
        <f>G536*56%</f>
        <v>0</v>
      </c>
      <c r="C536" s="6"/>
      <c r="D536" s="84">
        <f>G536-B536</f>
        <v>0</v>
      </c>
      <c r="E536" s="8" t="s">
        <v>8</v>
      </c>
      <c r="F536" s="8" t="s">
        <v>8</v>
      </c>
      <c r="G536" s="90">
        <v>0</v>
      </c>
      <c r="H536" s="91"/>
    </row>
    <row r="537" spans="1:8" ht="30.75" thickBot="1" x14ac:dyDescent="0.3">
      <c r="A537" s="2" t="s">
        <v>14</v>
      </c>
      <c r="B537" s="6">
        <f>G537*56%</f>
        <v>1942.64</v>
      </c>
      <c r="C537" s="6"/>
      <c r="D537" s="84">
        <f>G537-B537</f>
        <v>1526.36</v>
      </c>
      <c r="E537" s="8" t="s">
        <v>8</v>
      </c>
      <c r="F537" s="8" t="s">
        <v>8</v>
      </c>
      <c r="G537" s="90">
        <v>3469</v>
      </c>
      <c r="H537" s="91"/>
    </row>
    <row r="538" spans="1:8" ht="45.75" thickBot="1" x14ac:dyDescent="0.3">
      <c r="A538" s="2" t="s">
        <v>15</v>
      </c>
      <c r="B538" s="8" t="s">
        <v>8</v>
      </c>
      <c r="C538" s="8" t="s">
        <v>8</v>
      </c>
      <c r="D538" s="6"/>
      <c r="E538" s="8" t="s">
        <v>8</v>
      </c>
      <c r="F538" s="8" t="s">
        <v>8</v>
      </c>
      <c r="G538" s="90"/>
      <c r="H538" s="91"/>
    </row>
    <row r="539" spans="1:8" ht="15.75" thickBot="1" x14ac:dyDescent="0.3">
      <c r="A539" s="2" t="s">
        <v>16</v>
      </c>
      <c r="B539" s="8" t="s">
        <v>8</v>
      </c>
      <c r="C539" s="8" t="s">
        <v>8</v>
      </c>
      <c r="D539" s="12"/>
      <c r="E539" s="6">
        <v>0</v>
      </c>
      <c r="F539" s="6"/>
      <c r="G539" s="90">
        <v>12000</v>
      </c>
      <c r="H539" s="91"/>
    </row>
    <row r="540" spans="1:8" ht="15.75" thickBot="1" x14ac:dyDescent="0.3">
      <c r="A540" s="3" t="s">
        <v>17</v>
      </c>
      <c r="B540" s="6">
        <f>G540*56%</f>
        <v>0</v>
      </c>
      <c r="C540" s="8"/>
      <c r="D540" s="6"/>
      <c r="E540" s="6">
        <f>G540-B540</f>
        <v>0</v>
      </c>
      <c r="F540" s="6"/>
      <c r="G540" s="90">
        <v>0</v>
      </c>
      <c r="H540" s="91"/>
    </row>
    <row r="541" spans="1:8" ht="15.75" thickBot="1" x14ac:dyDescent="0.3">
      <c r="A541" s="3" t="s">
        <v>18</v>
      </c>
      <c r="B541" s="6"/>
      <c r="C541" s="8"/>
      <c r="D541" s="8"/>
      <c r="E541" s="6"/>
      <c r="F541" s="6"/>
      <c r="G541" s="90"/>
      <c r="H541" s="91"/>
    </row>
    <row r="542" spans="1:8" ht="45.75" thickBot="1" x14ac:dyDescent="0.3">
      <c r="A542" s="2" t="s">
        <v>19</v>
      </c>
      <c r="B542" s="6"/>
      <c r="C542" s="8"/>
      <c r="D542" s="6"/>
      <c r="E542" s="6"/>
      <c r="F542" s="6"/>
      <c r="G542" s="94"/>
      <c r="H542" s="95"/>
    </row>
    <row r="543" spans="1:8" ht="45.75" thickBot="1" x14ac:dyDescent="0.3">
      <c r="A543" s="2" t="s">
        <v>20</v>
      </c>
      <c r="B543" s="6">
        <f>G543*56%</f>
        <v>49.28</v>
      </c>
      <c r="C543" s="8"/>
      <c r="D543" s="6"/>
      <c r="E543" s="6">
        <f>G543-B543</f>
        <v>38.72</v>
      </c>
      <c r="F543" s="6"/>
      <c r="G543" s="90">
        <v>88</v>
      </c>
      <c r="H543" s="91"/>
    </row>
    <row r="544" spans="1:8" ht="30.75" thickBot="1" x14ac:dyDescent="0.3">
      <c r="A544" s="2" t="s">
        <v>21</v>
      </c>
      <c r="B544" s="6">
        <f>G544*56%</f>
        <v>3797.9200000000005</v>
      </c>
      <c r="C544" s="6"/>
      <c r="D544" s="84">
        <f>G544-B544</f>
        <v>2984.0799999999995</v>
      </c>
      <c r="E544" s="8" t="s">
        <v>8</v>
      </c>
      <c r="F544" s="8" t="s">
        <v>8</v>
      </c>
      <c r="G544" s="90">
        <f>294+6330+158</f>
        <v>6782</v>
      </c>
      <c r="H544" s="91"/>
    </row>
    <row r="545" spans="1:8" ht="15.75" thickBot="1" x14ac:dyDescent="0.3">
      <c r="A545" s="3" t="s">
        <v>22</v>
      </c>
      <c r="B545" s="6">
        <f>G545*56%</f>
        <v>241.92000000000002</v>
      </c>
      <c r="C545" s="6"/>
      <c r="D545" s="84">
        <f>G545-B545</f>
        <v>190.07999999999998</v>
      </c>
      <c r="E545" s="8" t="s">
        <v>8</v>
      </c>
      <c r="F545" s="8" t="s">
        <v>8</v>
      </c>
      <c r="G545" s="90">
        <f>414+18</f>
        <v>432</v>
      </c>
      <c r="H545" s="91"/>
    </row>
    <row r="546" spans="1:8" ht="15.75" thickBot="1" x14ac:dyDescent="0.3">
      <c r="A546" s="3" t="s">
        <v>23</v>
      </c>
      <c r="B546" s="8" t="s">
        <v>8</v>
      </c>
      <c r="C546" s="12"/>
      <c r="D546" s="8" t="s">
        <v>8</v>
      </c>
      <c r="E546" s="8" t="s">
        <v>8</v>
      </c>
      <c r="F546" s="8" t="s">
        <v>8</v>
      </c>
      <c r="G546" s="94"/>
      <c r="H546" s="95"/>
    </row>
    <row r="547" spans="1:8" ht="15.75" thickBot="1" x14ac:dyDescent="0.3">
      <c r="A547" s="3" t="s">
        <v>24</v>
      </c>
      <c r="B547" s="6">
        <f>G547*56%</f>
        <v>0</v>
      </c>
      <c r="C547" s="6"/>
      <c r="D547" s="6"/>
      <c r="E547" s="8" t="s">
        <v>8</v>
      </c>
      <c r="F547" s="8" t="s">
        <v>8</v>
      </c>
      <c r="G547" s="90"/>
      <c r="H547" s="91"/>
    </row>
    <row r="548" spans="1:8" ht="15.75" thickBot="1" x14ac:dyDescent="0.3">
      <c r="A548" s="4" t="s">
        <v>25</v>
      </c>
      <c r="B548" s="6">
        <f>SUM(B532:B547)</f>
        <v>119806.79999999999</v>
      </c>
      <c r="C548" s="6"/>
      <c r="D548" s="6">
        <f>SUM(D532:D547)</f>
        <v>40629.48000000001</v>
      </c>
      <c r="E548" s="6">
        <f>SUM(E532:E547)</f>
        <v>38.72</v>
      </c>
      <c r="F548" s="6"/>
      <c r="G548" s="90">
        <f>SUM(G532:H547)</f>
        <v>172475</v>
      </c>
      <c r="H548" s="91"/>
    </row>
    <row r="549" spans="1:8" x14ac:dyDescent="0.25">
      <c r="A549" s="92" t="s">
        <v>26</v>
      </c>
      <c r="B549" s="92"/>
      <c r="C549" s="92"/>
      <c r="D549" s="92"/>
      <c r="E549" s="92"/>
      <c r="F549" s="92"/>
      <c r="G549" s="92"/>
      <c r="H549" s="92"/>
    </row>
    <row r="550" spans="1:8" x14ac:dyDescent="0.25">
      <c r="A550" s="93" t="s">
        <v>27</v>
      </c>
      <c r="B550" s="93"/>
      <c r="C550" s="93"/>
      <c r="D550" s="93"/>
      <c r="E550" s="93"/>
      <c r="F550" s="93"/>
      <c r="G550" s="93"/>
      <c r="H550" s="93"/>
    </row>
    <row r="551" spans="1:8" x14ac:dyDescent="0.25">
      <c r="A551" s="93" t="s">
        <v>28</v>
      </c>
      <c r="B551" s="93"/>
      <c r="C551" s="93"/>
      <c r="D551" s="93"/>
      <c r="E551" s="93"/>
      <c r="F551" s="93"/>
      <c r="G551" s="93"/>
      <c r="H551" s="93"/>
    </row>
    <row r="552" spans="1:8" x14ac:dyDescent="0.25">
      <c r="A552" s="1"/>
      <c r="B552" s="9"/>
      <c r="C552" s="9"/>
      <c r="D552" s="9"/>
      <c r="E552" s="9"/>
      <c r="F552" s="9"/>
      <c r="G552" s="9"/>
      <c r="H552" s="9"/>
    </row>
    <row r="553" spans="1:8" ht="15.75" x14ac:dyDescent="0.25">
      <c r="A553" s="5"/>
    </row>
    <row r="554" spans="1:8" x14ac:dyDescent="0.25">
      <c r="B554" s="13" t="s">
        <v>77</v>
      </c>
      <c r="C554" s="13">
        <v>156157</v>
      </c>
    </row>
    <row r="555" spans="1:8" x14ac:dyDescent="0.25">
      <c r="C555" s="10">
        <f>C554-B548</f>
        <v>36350.200000000012</v>
      </c>
    </row>
    <row r="559" spans="1:8" x14ac:dyDescent="0.25">
      <c r="A559" s="85"/>
      <c r="B559" s="86"/>
      <c r="C559" s="86"/>
      <c r="D559" s="86"/>
      <c r="E559" s="112" t="s">
        <v>29</v>
      </c>
      <c r="F559" s="112"/>
      <c r="G559" s="112"/>
      <c r="H559" s="112"/>
    </row>
    <row r="560" spans="1:8" x14ac:dyDescent="0.25">
      <c r="A560" s="113"/>
      <c r="B560" s="114"/>
      <c r="C560" s="114"/>
      <c r="D560" s="115"/>
      <c r="E560" s="115" t="s">
        <v>0</v>
      </c>
      <c r="F560" s="115"/>
      <c r="G560" s="115"/>
      <c r="H560" s="115"/>
    </row>
    <row r="561" spans="1:8" x14ac:dyDescent="0.25">
      <c r="A561" s="113"/>
      <c r="B561" s="114"/>
      <c r="C561" s="114"/>
      <c r="D561" s="115"/>
      <c r="E561" s="115" t="s">
        <v>1</v>
      </c>
      <c r="F561" s="115"/>
      <c r="G561" s="115"/>
      <c r="H561" s="115"/>
    </row>
    <row r="562" spans="1:8" ht="15.75" thickBot="1" x14ac:dyDescent="0.3">
      <c r="A562" s="98" t="s">
        <v>38</v>
      </c>
      <c r="B562" s="98"/>
      <c r="C562" s="98"/>
      <c r="D562" s="98"/>
      <c r="E562" s="98"/>
      <c r="F562" s="98"/>
      <c r="G562" s="99"/>
      <c r="H562" s="99"/>
    </row>
    <row r="563" spans="1:8" ht="15.75" thickBot="1" x14ac:dyDescent="0.3">
      <c r="A563" s="100" t="s">
        <v>2</v>
      </c>
      <c r="B563" s="103" t="s">
        <v>30</v>
      </c>
      <c r="C563" s="104"/>
      <c r="D563" s="104"/>
      <c r="E563" s="104"/>
      <c r="F563" s="104"/>
      <c r="G563" s="105" t="s">
        <v>3</v>
      </c>
      <c r="H563" s="106"/>
    </row>
    <row r="564" spans="1:8" ht="105.75" thickBot="1" x14ac:dyDescent="0.3">
      <c r="A564" s="101"/>
      <c r="B564" s="96" t="s">
        <v>30</v>
      </c>
      <c r="C564" s="107"/>
      <c r="D564" s="83" t="s">
        <v>32</v>
      </c>
      <c r="E564" s="107" t="s">
        <v>4</v>
      </c>
      <c r="F564" s="97"/>
      <c r="G564" s="108"/>
      <c r="H564" s="109"/>
    </row>
    <row r="565" spans="1:8" ht="150.75" thickBot="1" x14ac:dyDescent="0.3">
      <c r="A565" s="102"/>
      <c r="B565" s="89" t="s">
        <v>36</v>
      </c>
      <c r="C565" s="89" t="s">
        <v>5</v>
      </c>
      <c r="D565" s="89" t="s">
        <v>33</v>
      </c>
      <c r="E565" s="89" t="s">
        <v>34</v>
      </c>
      <c r="F565" s="89" t="s">
        <v>35</v>
      </c>
      <c r="G565" s="110"/>
      <c r="H565" s="111"/>
    </row>
    <row r="566" spans="1:8" ht="15.75" thickBot="1" x14ac:dyDescent="0.3">
      <c r="A566" s="82">
        <v>1</v>
      </c>
      <c r="B566" s="89">
        <v>2</v>
      </c>
      <c r="C566" s="11">
        <v>3</v>
      </c>
      <c r="D566" s="89">
        <v>4</v>
      </c>
      <c r="E566" s="11">
        <v>5</v>
      </c>
      <c r="F566" s="89">
        <v>6</v>
      </c>
      <c r="G566" s="96" t="s">
        <v>37</v>
      </c>
      <c r="H566" s="97"/>
    </row>
    <row r="567" spans="1:8" ht="60.75" thickBot="1" x14ac:dyDescent="0.3">
      <c r="A567" s="2" t="s">
        <v>7</v>
      </c>
      <c r="B567" s="6">
        <f>B568</f>
        <v>95739.48</v>
      </c>
      <c r="C567" s="12"/>
      <c r="D567" s="6">
        <f>D568</f>
        <v>30233.520000000004</v>
      </c>
      <c r="E567" s="8" t="s">
        <v>8</v>
      </c>
      <c r="F567" s="8" t="s">
        <v>8</v>
      </c>
      <c r="G567" s="90">
        <f>130777-1495-3309</f>
        <v>125973</v>
      </c>
      <c r="H567" s="91"/>
    </row>
    <row r="568" spans="1:8" ht="15.75" thickBot="1" x14ac:dyDescent="0.3">
      <c r="A568" s="3" t="s">
        <v>9</v>
      </c>
      <c r="B568" s="6">
        <f>G568*76%</f>
        <v>95739.48</v>
      </c>
      <c r="C568" s="12"/>
      <c r="D568" s="84">
        <f>G568-B568</f>
        <v>30233.520000000004</v>
      </c>
      <c r="E568" s="8" t="s">
        <v>8</v>
      </c>
      <c r="F568" s="8" t="s">
        <v>8</v>
      </c>
      <c r="G568" s="90">
        <f>G567-G569</f>
        <v>125973</v>
      </c>
      <c r="H568" s="91"/>
    </row>
    <row r="569" spans="1:8" ht="15.75" thickBot="1" x14ac:dyDescent="0.3">
      <c r="A569" s="2" t="s">
        <v>10</v>
      </c>
      <c r="B569" s="6">
        <v>0</v>
      </c>
      <c r="C569" s="12"/>
      <c r="D569" s="6">
        <v>0</v>
      </c>
      <c r="E569" s="8" t="s">
        <v>8</v>
      </c>
      <c r="F569" s="8" t="s">
        <v>8</v>
      </c>
      <c r="G569" s="90"/>
      <c r="H569" s="91"/>
    </row>
    <row r="570" spans="1:8" ht="60.75" thickBot="1" x14ac:dyDescent="0.3">
      <c r="A570" s="2" t="s">
        <v>11</v>
      </c>
      <c r="B570" s="6">
        <f>G570*76%</f>
        <v>28201.32</v>
      </c>
      <c r="C570" s="12"/>
      <c r="D570" s="84">
        <f>G570-B570</f>
        <v>8905.68</v>
      </c>
      <c r="E570" s="8" t="s">
        <v>8</v>
      </c>
      <c r="F570" s="8" t="s">
        <v>8</v>
      </c>
      <c r="G570" s="90">
        <f>37474-367</f>
        <v>37107</v>
      </c>
      <c r="H570" s="91"/>
    </row>
    <row r="571" spans="1:8" ht="30.75" thickBot="1" x14ac:dyDescent="0.3">
      <c r="A571" s="2" t="s">
        <v>12</v>
      </c>
      <c r="B571" s="6">
        <f>G571*76%</f>
        <v>3929.96</v>
      </c>
      <c r="C571" s="12"/>
      <c r="D571" s="84">
        <f>G571-B571</f>
        <v>1241.04</v>
      </c>
      <c r="E571" s="8" t="s">
        <v>8</v>
      </c>
      <c r="F571" s="8" t="s">
        <v>8</v>
      </c>
      <c r="G571" s="90">
        <f>367+1495+3309</f>
        <v>5171</v>
      </c>
      <c r="H571" s="91"/>
    </row>
    <row r="572" spans="1:8" ht="15.75" thickBot="1" x14ac:dyDescent="0.3">
      <c r="A572" s="2" t="s">
        <v>13</v>
      </c>
      <c r="B572" s="6">
        <f>G572*56%</f>
        <v>0</v>
      </c>
      <c r="C572" s="6"/>
      <c r="D572" s="84">
        <f>G572-B572</f>
        <v>0</v>
      </c>
      <c r="E572" s="8" t="s">
        <v>8</v>
      </c>
      <c r="F572" s="8" t="s">
        <v>8</v>
      </c>
      <c r="G572" s="90">
        <v>0</v>
      </c>
      <c r="H572" s="91"/>
    </row>
    <row r="573" spans="1:8" ht="30.75" thickBot="1" x14ac:dyDescent="0.3">
      <c r="A573" s="2" t="s">
        <v>14</v>
      </c>
      <c r="B573" s="6">
        <f>G573*56%</f>
        <v>3467.5200000000004</v>
      </c>
      <c r="C573" s="6"/>
      <c r="D573" s="84">
        <f>G573-B573</f>
        <v>2724.4799999999996</v>
      </c>
      <c r="E573" s="8" t="s">
        <v>8</v>
      </c>
      <c r="F573" s="8" t="s">
        <v>8</v>
      </c>
      <c r="G573" s="90">
        <v>6192</v>
      </c>
      <c r="H573" s="91"/>
    </row>
    <row r="574" spans="1:8" ht="45.75" thickBot="1" x14ac:dyDescent="0.3">
      <c r="A574" s="2" t="s">
        <v>15</v>
      </c>
      <c r="B574" s="8" t="s">
        <v>8</v>
      </c>
      <c r="C574" s="8" t="s">
        <v>8</v>
      </c>
      <c r="D574" s="6"/>
      <c r="E574" s="8" t="s">
        <v>8</v>
      </c>
      <c r="F574" s="8" t="s">
        <v>8</v>
      </c>
      <c r="G574" s="90"/>
      <c r="H574" s="91"/>
    </row>
    <row r="575" spans="1:8" ht="15.75" thickBot="1" x14ac:dyDescent="0.3">
      <c r="A575" s="2" t="s">
        <v>16</v>
      </c>
      <c r="B575" s="8" t="s">
        <v>8</v>
      </c>
      <c r="C575" s="8" t="s">
        <v>8</v>
      </c>
      <c r="D575" s="12"/>
      <c r="E575" s="6">
        <v>750</v>
      </c>
      <c r="F575" s="6"/>
      <c r="G575" s="90">
        <v>12000</v>
      </c>
      <c r="H575" s="91"/>
    </row>
    <row r="576" spans="1:8" ht="15.75" thickBot="1" x14ac:dyDescent="0.3">
      <c r="A576" s="3" t="s">
        <v>17</v>
      </c>
      <c r="B576" s="6">
        <f>G576*56%</f>
        <v>2651.6000000000004</v>
      </c>
      <c r="C576" s="8"/>
      <c r="D576" s="6"/>
      <c r="E576" s="6">
        <f>G576-B576</f>
        <v>2083.3999999999996</v>
      </c>
      <c r="F576" s="6"/>
      <c r="G576" s="90">
        <v>4735</v>
      </c>
      <c r="H576" s="91"/>
    </row>
    <row r="577" spans="1:8" ht="15.75" thickBot="1" x14ac:dyDescent="0.3">
      <c r="A577" s="3" t="s">
        <v>18</v>
      </c>
      <c r="B577" s="6"/>
      <c r="C577" s="8"/>
      <c r="D577" s="8"/>
      <c r="E577" s="6"/>
      <c r="F577" s="6"/>
      <c r="G577" s="90"/>
      <c r="H577" s="91"/>
    </row>
    <row r="578" spans="1:8" ht="45.75" thickBot="1" x14ac:dyDescent="0.3">
      <c r="A578" s="2" t="s">
        <v>19</v>
      </c>
      <c r="B578" s="6"/>
      <c r="C578" s="8"/>
      <c r="D578" s="6"/>
      <c r="E578" s="6"/>
      <c r="F578" s="6"/>
      <c r="G578" s="94"/>
      <c r="H578" s="95"/>
    </row>
    <row r="579" spans="1:8" ht="45.75" thickBot="1" x14ac:dyDescent="0.3">
      <c r="A579" s="2" t="s">
        <v>20</v>
      </c>
      <c r="B579" s="6">
        <f>G579*56%</f>
        <v>55.440000000000005</v>
      </c>
      <c r="C579" s="8"/>
      <c r="D579" s="6"/>
      <c r="E579" s="6">
        <f>G579-B579</f>
        <v>43.559999999999995</v>
      </c>
      <c r="F579" s="6"/>
      <c r="G579" s="90">
        <v>99</v>
      </c>
      <c r="H579" s="91"/>
    </row>
    <row r="580" spans="1:8" ht="30.75" thickBot="1" x14ac:dyDescent="0.3">
      <c r="A580" s="2" t="s">
        <v>21</v>
      </c>
      <c r="B580" s="6">
        <f>G580*56%</f>
        <v>4113.76</v>
      </c>
      <c r="C580" s="6"/>
      <c r="D580" s="84">
        <f>G580-B580</f>
        <v>3232.24</v>
      </c>
      <c r="E580" s="8" t="s">
        <v>8</v>
      </c>
      <c r="F580" s="8" t="s">
        <v>8</v>
      </c>
      <c r="G580" s="90">
        <f>294+6894+158</f>
        <v>7346</v>
      </c>
      <c r="H580" s="91"/>
    </row>
    <row r="581" spans="1:8" ht="15.75" thickBot="1" x14ac:dyDescent="0.3">
      <c r="A581" s="3" t="s">
        <v>22</v>
      </c>
      <c r="B581" s="6">
        <f>G581*56%</f>
        <v>256.48</v>
      </c>
      <c r="C581" s="6"/>
      <c r="D581" s="84">
        <f>G581-B581</f>
        <v>201.51999999999998</v>
      </c>
      <c r="E581" s="8" t="s">
        <v>8</v>
      </c>
      <c r="F581" s="8" t="s">
        <v>8</v>
      </c>
      <c r="G581" s="90">
        <f>18+440</f>
        <v>458</v>
      </c>
      <c r="H581" s="91"/>
    </row>
    <row r="582" spans="1:8" ht="15.75" thickBot="1" x14ac:dyDescent="0.3">
      <c r="A582" s="3" t="s">
        <v>23</v>
      </c>
      <c r="B582" s="8" t="s">
        <v>8</v>
      </c>
      <c r="C582" s="12"/>
      <c r="D582" s="8" t="s">
        <v>8</v>
      </c>
      <c r="E582" s="8" t="s">
        <v>8</v>
      </c>
      <c r="F582" s="8" t="s">
        <v>8</v>
      </c>
      <c r="G582" s="94"/>
      <c r="H582" s="95"/>
    </row>
    <row r="583" spans="1:8" ht="15.75" thickBot="1" x14ac:dyDescent="0.3">
      <c r="A583" s="3" t="s">
        <v>24</v>
      </c>
      <c r="B583" s="6">
        <f>G583*56%</f>
        <v>0</v>
      </c>
      <c r="C583" s="6"/>
      <c r="D583" s="6"/>
      <c r="E583" s="8" t="s">
        <v>8</v>
      </c>
      <c r="F583" s="8" t="s">
        <v>8</v>
      </c>
      <c r="G583" s="90"/>
      <c r="H583" s="91"/>
    </row>
    <row r="584" spans="1:8" ht="15.75" thickBot="1" x14ac:dyDescent="0.3">
      <c r="A584" s="4" t="s">
        <v>25</v>
      </c>
      <c r="B584" s="6">
        <f>SUM(B568:B583)</f>
        <v>138415.56000000003</v>
      </c>
      <c r="C584" s="6"/>
      <c r="D584" s="6">
        <f>SUM(D568:D583)</f>
        <v>46538.479999999996</v>
      </c>
      <c r="E584" s="6">
        <f>SUM(E568:E583)</f>
        <v>2876.9599999999996</v>
      </c>
      <c r="F584" s="6"/>
      <c r="G584" s="90">
        <f>SUM(G568:H583)</f>
        <v>199081</v>
      </c>
      <c r="H584" s="91"/>
    </row>
    <row r="585" spans="1:8" x14ac:dyDescent="0.25">
      <c r="A585" s="92" t="s">
        <v>26</v>
      </c>
      <c r="B585" s="92"/>
      <c r="C585" s="92"/>
      <c r="D585" s="92"/>
      <c r="E585" s="92"/>
      <c r="F585" s="92"/>
      <c r="G585" s="92"/>
      <c r="H585" s="92"/>
    </row>
    <row r="586" spans="1:8" x14ac:dyDescent="0.25">
      <c r="A586" s="93" t="s">
        <v>27</v>
      </c>
      <c r="B586" s="93"/>
      <c r="C586" s="93"/>
      <c r="D586" s="93"/>
      <c r="E586" s="93"/>
      <c r="F586" s="93"/>
      <c r="G586" s="93"/>
      <c r="H586" s="93"/>
    </row>
    <row r="587" spans="1:8" x14ac:dyDescent="0.25">
      <c r="A587" s="93" t="s">
        <v>28</v>
      </c>
      <c r="B587" s="93"/>
      <c r="C587" s="93"/>
      <c r="D587" s="93"/>
      <c r="E587" s="93"/>
      <c r="F587" s="93"/>
      <c r="G587" s="93"/>
      <c r="H587" s="93"/>
    </row>
    <row r="588" spans="1:8" x14ac:dyDescent="0.25">
      <c r="A588" s="1"/>
      <c r="B588" s="9"/>
      <c r="C588" s="9"/>
      <c r="D588" s="9"/>
      <c r="E588" s="9"/>
      <c r="F588" s="9"/>
      <c r="G588" s="9"/>
      <c r="H588" s="9"/>
    </row>
    <row r="589" spans="1:8" ht="15.75" x14ac:dyDescent="0.25">
      <c r="A589" s="5"/>
    </row>
    <row r="590" spans="1:8" x14ac:dyDescent="0.25">
      <c r="B590" s="13" t="s">
        <v>40</v>
      </c>
      <c r="C590" s="13">
        <v>172036</v>
      </c>
    </row>
    <row r="591" spans="1:8" x14ac:dyDescent="0.25">
      <c r="B591" s="13"/>
      <c r="C591" s="10">
        <f>C590-B584</f>
        <v>33620.439999999973</v>
      </c>
    </row>
    <row r="593" spans="1:9" x14ac:dyDescent="0.25">
      <c r="A593" s="85"/>
      <c r="B593" s="86"/>
      <c r="C593" s="86"/>
      <c r="D593" s="86"/>
      <c r="E593" s="112" t="s">
        <v>29</v>
      </c>
      <c r="F593" s="112"/>
      <c r="G593" s="112"/>
      <c r="H593" s="112"/>
    </row>
    <row r="594" spans="1:9" x14ac:dyDescent="0.25">
      <c r="A594" s="113"/>
      <c r="B594" s="114"/>
      <c r="C594" s="114"/>
      <c r="D594" s="115"/>
      <c r="E594" s="115" t="s">
        <v>0</v>
      </c>
      <c r="F594" s="115"/>
      <c r="G594" s="115"/>
      <c r="H594" s="115"/>
    </row>
    <row r="595" spans="1:9" x14ac:dyDescent="0.25">
      <c r="A595" s="113"/>
      <c r="B595" s="114"/>
      <c r="C595" s="114"/>
      <c r="D595" s="115"/>
      <c r="E595" s="115" t="s">
        <v>1</v>
      </c>
      <c r="F595" s="115"/>
      <c r="G595" s="115"/>
      <c r="H595" s="115"/>
    </row>
    <row r="596" spans="1:9" ht="15.75" thickBot="1" x14ac:dyDescent="0.3">
      <c r="A596" s="98" t="s">
        <v>79</v>
      </c>
      <c r="B596" s="98"/>
      <c r="C596" s="98"/>
      <c r="D596" s="98"/>
      <c r="E596" s="98"/>
      <c r="F596" s="98"/>
      <c r="G596" s="99"/>
      <c r="H596" s="99"/>
    </row>
    <row r="597" spans="1:9" ht="15.75" thickBot="1" x14ac:dyDescent="0.3">
      <c r="A597" s="100" t="s">
        <v>2</v>
      </c>
      <c r="B597" s="103" t="s">
        <v>30</v>
      </c>
      <c r="C597" s="104"/>
      <c r="D597" s="104"/>
      <c r="E597" s="104"/>
      <c r="F597" s="104"/>
      <c r="G597" s="105" t="s">
        <v>3</v>
      </c>
      <c r="H597" s="106"/>
    </row>
    <row r="598" spans="1:9" ht="105.75" thickBot="1" x14ac:dyDescent="0.3">
      <c r="A598" s="101"/>
      <c r="B598" s="96" t="s">
        <v>30</v>
      </c>
      <c r="C598" s="107"/>
      <c r="D598" s="83" t="s">
        <v>32</v>
      </c>
      <c r="E598" s="107" t="s">
        <v>4</v>
      </c>
      <c r="F598" s="97"/>
      <c r="G598" s="108"/>
      <c r="H598" s="109"/>
    </row>
    <row r="599" spans="1:9" ht="150.75" thickBot="1" x14ac:dyDescent="0.3">
      <c r="A599" s="102"/>
      <c r="B599" s="89" t="s">
        <v>36</v>
      </c>
      <c r="C599" s="89" t="s">
        <v>5</v>
      </c>
      <c r="D599" s="89" t="s">
        <v>33</v>
      </c>
      <c r="E599" s="89" t="s">
        <v>34</v>
      </c>
      <c r="F599" s="89" t="s">
        <v>35</v>
      </c>
      <c r="G599" s="110"/>
      <c r="H599" s="111"/>
    </row>
    <row r="600" spans="1:9" ht="15.75" thickBot="1" x14ac:dyDescent="0.3">
      <c r="A600" s="82">
        <v>1</v>
      </c>
      <c r="B600" s="89">
        <v>2</v>
      </c>
      <c r="C600" s="11">
        <v>3</v>
      </c>
      <c r="D600" s="89">
        <v>4</v>
      </c>
      <c r="E600" s="11">
        <v>5</v>
      </c>
      <c r="F600" s="89">
        <v>6</v>
      </c>
      <c r="G600" s="96" t="s">
        <v>37</v>
      </c>
      <c r="H600" s="97"/>
    </row>
    <row r="601" spans="1:9" ht="60.75" thickBot="1" x14ac:dyDescent="0.3">
      <c r="A601" s="2" t="s">
        <v>7</v>
      </c>
      <c r="B601" s="6">
        <f>B602</f>
        <v>109557.8</v>
      </c>
      <c r="C601" s="12"/>
      <c r="D601" s="6">
        <f>D602</f>
        <v>34597.199999999997</v>
      </c>
      <c r="E601" s="8" t="s">
        <v>8</v>
      </c>
      <c r="F601" s="8" t="s">
        <v>8</v>
      </c>
      <c r="G601" s="90">
        <f>149074-1610-3309</f>
        <v>144155</v>
      </c>
      <c r="H601" s="91"/>
    </row>
    <row r="602" spans="1:9" ht="15.75" thickBot="1" x14ac:dyDescent="0.3">
      <c r="A602" s="3" t="s">
        <v>9</v>
      </c>
      <c r="B602" s="6">
        <f>G602*76%</f>
        <v>109557.8</v>
      </c>
      <c r="C602" s="12"/>
      <c r="D602" s="84">
        <f>G602-B602</f>
        <v>34597.199999999997</v>
      </c>
      <c r="E602" s="8" t="s">
        <v>8</v>
      </c>
      <c r="F602" s="8" t="s">
        <v>8</v>
      </c>
      <c r="G602" s="90">
        <f>G601-G603</f>
        <v>144155</v>
      </c>
      <c r="H602" s="91"/>
    </row>
    <row r="603" spans="1:9" ht="15.75" thickBot="1" x14ac:dyDescent="0.3">
      <c r="A603" s="2" t="s">
        <v>10</v>
      </c>
      <c r="B603" s="6">
        <v>0</v>
      </c>
      <c r="C603" s="12"/>
      <c r="D603" s="6">
        <v>0</v>
      </c>
      <c r="E603" s="8" t="s">
        <v>8</v>
      </c>
      <c r="F603" s="8" t="s">
        <v>8</v>
      </c>
      <c r="G603" s="90"/>
      <c r="H603" s="91"/>
    </row>
    <row r="604" spans="1:9" ht="60.75" thickBot="1" x14ac:dyDescent="0.3">
      <c r="A604" s="2" t="s">
        <v>11</v>
      </c>
      <c r="B604" s="6">
        <f>G604*76%</f>
        <v>31883.52</v>
      </c>
      <c r="C604" s="12"/>
      <c r="D604" s="84">
        <f>G604-B604</f>
        <v>10068.48</v>
      </c>
      <c r="E604" s="8" t="s">
        <v>8</v>
      </c>
      <c r="F604" s="8" t="s">
        <v>8</v>
      </c>
      <c r="G604" s="90">
        <f>42355-403</f>
        <v>41952</v>
      </c>
      <c r="H604" s="91"/>
    </row>
    <row r="605" spans="1:9" ht="30.75" thickBot="1" x14ac:dyDescent="0.3">
      <c r="A605" s="2" t="s">
        <v>12</v>
      </c>
      <c r="B605" s="6">
        <f>G605*76%</f>
        <v>4044.7200000000003</v>
      </c>
      <c r="C605" s="12"/>
      <c r="D605" s="84">
        <f>G605-B605</f>
        <v>1277.2799999999997</v>
      </c>
      <c r="E605" s="8" t="s">
        <v>8</v>
      </c>
      <c r="F605" s="8" t="s">
        <v>8</v>
      </c>
      <c r="G605" s="90">
        <f>1610+3309+403</f>
        <v>5322</v>
      </c>
      <c r="H605" s="91"/>
      <c r="I605" s="10"/>
    </row>
    <row r="606" spans="1:9" ht="15.75" thickBot="1" x14ac:dyDescent="0.3">
      <c r="A606" s="2" t="s">
        <v>13</v>
      </c>
      <c r="B606" s="6">
        <f>G606*56%</f>
        <v>0</v>
      </c>
      <c r="C606" s="6"/>
      <c r="D606" s="84">
        <f>G606-B606</f>
        <v>0</v>
      </c>
      <c r="E606" s="8" t="s">
        <v>8</v>
      </c>
      <c r="F606" s="8" t="s">
        <v>8</v>
      </c>
      <c r="G606" s="90">
        <v>0</v>
      </c>
      <c r="H606" s="91"/>
    </row>
    <row r="607" spans="1:9" ht="30.75" thickBot="1" x14ac:dyDescent="0.3">
      <c r="A607" s="2" t="s">
        <v>14</v>
      </c>
      <c r="B607" s="6">
        <f>G607*56%</f>
        <v>6598.4800000000005</v>
      </c>
      <c r="C607" s="6"/>
      <c r="D607" s="84">
        <f>G607-B607</f>
        <v>5184.5199999999995</v>
      </c>
      <c r="E607" s="8" t="s">
        <v>8</v>
      </c>
      <c r="F607" s="8" t="s">
        <v>8</v>
      </c>
      <c r="G607" s="90">
        <v>11783</v>
      </c>
      <c r="H607" s="91"/>
      <c r="I607" s="10"/>
    </row>
    <row r="608" spans="1:9" ht="45.75" thickBot="1" x14ac:dyDescent="0.3">
      <c r="A608" s="2" t="s">
        <v>15</v>
      </c>
      <c r="B608" s="8" t="s">
        <v>8</v>
      </c>
      <c r="C608" s="8" t="s">
        <v>8</v>
      </c>
      <c r="D608" s="6"/>
      <c r="E608" s="8" t="s">
        <v>8</v>
      </c>
      <c r="F608" s="8" t="s">
        <v>8</v>
      </c>
      <c r="G608" s="90"/>
      <c r="H608" s="91"/>
    </row>
    <row r="609" spans="1:8" ht="15.75" thickBot="1" x14ac:dyDescent="0.3">
      <c r="A609" s="2" t="s">
        <v>16</v>
      </c>
      <c r="B609" s="8" t="s">
        <v>8</v>
      </c>
      <c r="C609" s="8" t="s">
        <v>8</v>
      </c>
      <c r="D609" s="12"/>
      <c r="E609" s="6">
        <v>2250</v>
      </c>
      <c r="F609" s="6"/>
      <c r="G609" s="90">
        <v>13500</v>
      </c>
      <c r="H609" s="91"/>
    </row>
    <row r="610" spans="1:8" ht="15.75" thickBot="1" x14ac:dyDescent="0.3">
      <c r="A610" s="3" t="s">
        <v>17</v>
      </c>
      <c r="B610" s="6">
        <f>G610*56%</f>
        <v>2651.6000000000004</v>
      </c>
      <c r="C610" s="8"/>
      <c r="D610" s="6"/>
      <c r="E610" s="6">
        <f>G610-B610</f>
        <v>2083.3999999999996</v>
      </c>
      <c r="F610" s="6"/>
      <c r="G610" s="90">
        <v>4735</v>
      </c>
      <c r="H610" s="91"/>
    </row>
    <row r="611" spans="1:8" ht="15.75" thickBot="1" x14ac:dyDescent="0.3">
      <c r="A611" s="3" t="s">
        <v>18</v>
      </c>
      <c r="B611" s="6"/>
      <c r="C611" s="8"/>
      <c r="D611" s="8"/>
      <c r="E611" s="6"/>
      <c r="F611" s="6"/>
      <c r="G611" s="90"/>
      <c r="H611" s="91"/>
    </row>
    <row r="612" spans="1:8" ht="45.75" thickBot="1" x14ac:dyDescent="0.3">
      <c r="A612" s="2" t="s">
        <v>19</v>
      </c>
      <c r="B612" s="6"/>
      <c r="C612" s="8"/>
      <c r="D612" s="6"/>
      <c r="E612" s="6"/>
      <c r="F612" s="6"/>
      <c r="G612" s="94"/>
      <c r="H612" s="95"/>
    </row>
    <row r="613" spans="1:8" ht="45.75" thickBot="1" x14ac:dyDescent="0.3">
      <c r="A613" s="2" t="s">
        <v>20</v>
      </c>
      <c r="B613" s="6">
        <f>G613*56%</f>
        <v>72.800000000000011</v>
      </c>
      <c r="C613" s="8"/>
      <c r="D613" s="6"/>
      <c r="E613" s="6">
        <f>G613-B613</f>
        <v>57.199999999999989</v>
      </c>
      <c r="F613" s="6"/>
      <c r="G613" s="90">
        <v>130</v>
      </c>
      <c r="H613" s="91"/>
    </row>
    <row r="614" spans="1:8" ht="30.75" thickBot="1" x14ac:dyDescent="0.3">
      <c r="A614" s="2" t="s">
        <v>21</v>
      </c>
      <c r="B614" s="6">
        <f>G614*56%</f>
        <v>5276.88</v>
      </c>
      <c r="C614" s="6"/>
      <c r="D614" s="84">
        <f>G614-B614</f>
        <v>4146.12</v>
      </c>
      <c r="E614" s="8" t="s">
        <v>8</v>
      </c>
      <c r="F614" s="8" t="s">
        <v>8</v>
      </c>
      <c r="G614" s="90">
        <f>570+8695+158</f>
        <v>9423</v>
      </c>
      <c r="H614" s="91"/>
    </row>
    <row r="615" spans="1:8" ht="15.75" thickBot="1" x14ac:dyDescent="0.3">
      <c r="A615" s="3" t="s">
        <v>22</v>
      </c>
      <c r="B615" s="6">
        <f>G615*56%</f>
        <v>267.12</v>
      </c>
      <c r="C615" s="6"/>
      <c r="D615" s="84">
        <f>G615-B615</f>
        <v>209.88</v>
      </c>
      <c r="E615" s="8" t="s">
        <v>8</v>
      </c>
      <c r="F615" s="8" t="s">
        <v>8</v>
      </c>
      <c r="G615" s="90">
        <f>459+18</f>
        <v>477</v>
      </c>
      <c r="H615" s="91"/>
    </row>
    <row r="616" spans="1:8" ht="15.75" thickBot="1" x14ac:dyDescent="0.3">
      <c r="A616" s="3" t="s">
        <v>23</v>
      </c>
      <c r="B616" s="8" t="s">
        <v>8</v>
      </c>
      <c r="C616" s="12"/>
      <c r="D616" s="8" t="s">
        <v>8</v>
      </c>
      <c r="E616" s="8" t="s">
        <v>8</v>
      </c>
      <c r="F616" s="8" t="s">
        <v>8</v>
      </c>
      <c r="G616" s="94"/>
      <c r="H616" s="95"/>
    </row>
    <row r="617" spans="1:8" ht="15.75" thickBot="1" x14ac:dyDescent="0.3">
      <c r="A617" s="3" t="s">
        <v>24</v>
      </c>
      <c r="B617" s="6">
        <f>G617*56%</f>
        <v>0</v>
      </c>
      <c r="C617" s="6"/>
      <c r="D617" s="6"/>
      <c r="E617" s="8" t="s">
        <v>8</v>
      </c>
      <c r="F617" s="8" t="s">
        <v>8</v>
      </c>
      <c r="G617" s="90"/>
      <c r="H617" s="91"/>
    </row>
    <row r="618" spans="1:8" ht="15.75" thickBot="1" x14ac:dyDescent="0.3">
      <c r="A618" s="4" t="s">
        <v>25</v>
      </c>
      <c r="B618" s="6">
        <f>SUM(B602:B617)</f>
        <v>160352.92000000001</v>
      </c>
      <c r="C618" s="6"/>
      <c r="D618" s="6">
        <f>SUM(D602:D617)</f>
        <v>55483.479999999989</v>
      </c>
      <c r="E618" s="6">
        <f>SUM(E602:E617)</f>
        <v>4390.5999999999995</v>
      </c>
      <c r="F618" s="6"/>
      <c r="G618" s="90">
        <f>SUM(G602:H617)</f>
        <v>231477</v>
      </c>
      <c r="H618" s="91"/>
    </row>
    <row r="619" spans="1:8" x14ac:dyDescent="0.25">
      <c r="A619" s="92" t="s">
        <v>26</v>
      </c>
      <c r="B619" s="92"/>
      <c r="C619" s="92"/>
      <c r="D619" s="92"/>
      <c r="E619" s="92"/>
      <c r="F619" s="92"/>
      <c r="G619" s="92"/>
      <c r="H619" s="92"/>
    </row>
    <row r="620" spans="1:8" x14ac:dyDescent="0.25">
      <c r="A620" s="93" t="s">
        <v>27</v>
      </c>
      <c r="B620" s="93"/>
      <c r="C620" s="93"/>
      <c r="D620" s="93"/>
      <c r="E620" s="93"/>
      <c r="F620" s="93"/>
      <c r="G620" s="93"/>
      <c r="H620" s="93"/>
    </row>
    <row r="621" spans="1:8" x14ac:dyDescent="0.25">
      <c r="A621" s="93" t="s">
        <v>28</v>
      </c>
      <c r="B621" s="93"/>
      <c r="C621" s="93"/>
      <c r="D621" s="93"/>
      <c r="E621" s="93"/>
      <c r="F621" s="93"/>
      <c r="G621" s="93"/>
      <c r="H621" s="93"/>
    </row>
    <row r="622" spans="1:8" x14ac:dyDescent="0.25">
      <c r="A622" s="1"/>
      <c r="B622" s="9"/>
      <c r="C622" s="9"/>
      <c r="D622" s="9"/>
      <c r="E622" s="9"/>
      <c r="F622" s="9"/>
      <c r="G622" s="9"/>
      <c r="H622" s="9"/>
    </row>
    <row r="623" spans="1:8" ht="15.75" x14ac:dyDescent="0.25">
      <c r="A623" s="5"/>
    </row>
    <row r="624" spans="1:8" x14ac:dyDescent="0.25">
      <c r="B624" s="13" t="s">
        <v>80</v>
      </c>
      <c r="C624" s="13">
        <v>191681</v>
      </c>
    </row>
    <row r="625" spans="1:8" x14ac:dyDescent="0.25">
      <c r="C625" s="10">
        <f>C624-B618</f>
        <v>31328.079999999987</v>
      </c>
    </row>
    <row r="629" spans="1:8" x14ac:dyDescent="0.25">
      <c r="A629" s="85"/>
      <c r="B629" s="86"/>
      <c r="C629" s="86"/>
      <c r="D629" s="86"/>
      <c r="E629" s="112" t="s">
        <v>29</v>
      </c>
      <c r="F629" s="112"/>
      <c r="G629" s="112"/>
      <c r="H629" s="112"/>
    </row>
    <row r="630" spans="1:8" x14ac:dyDescent="0.25">
      <c r="A630" s="113"/>
      <c r="B630" s="114"/>
      <c r="C630" s="114"/>
      <c r="D630" s="115"/>
      <c r="E630" s="115" t="s">
        <v>0</v>
      </c>
      <c r="F630" s="115"/>
      <c r="G630" s="115"/>
      <c r="H630" s="115"/>
    </row>
    <row r="631" spans="1:8" x14ac:dyDescent="0.25">
      <c r="A631" s="113"/>
      <c r="B631" s="114"/>
      <c r="C631" s="114"/>
      <c r="D631" s="115"/>
      <c r="E631" s="115" t="s">
        <v>1</v>
      </c>
      <c r="F631" s="115"/>
      <c r="G631" s="115"/>
      <c r="H631" s="115"/>
    </row>
    <row r="632" spans="1:8" ht="15.75" thickBot="1" x14ac:dyDescent="0.3">
      <c r="A632" s="98" t="s">
        <v>81</v>
      </c>
      <c r="B632" s="98"/>
      <c r="C632" s="98"/>
      <c r="D632" s="98"/>
      <c r="E632" s="98"/>
      <c r="F632" s="98"/>
      <c r="G632" s="99"/>
      <c r="H632" s="99"/>
    </row>
    <row r="633" spans="1:8" ht="15.75" thickBot="1" x14ac:dyDescent="0.3">
      <c r="A633" s="100" t="s">
        <v>2</v>
      </c>
      <c r="B633" s="103" t="s">
        <v>30</v>
      </c>
      <c r="C633" s="104"/>
      <c r="D633" s="104"/>
      <c r="E633" s="104"/>
      <c r="F633" s="104"/>
      <c r="G633" s="105" t="s">
        <v>3</v>
      </c>
      <c r="H633" s="106"/>
    </row>
    <row r="634" spans="1:8" ht="105.75" thickBot="1" x14ac:dyDescent="0.3">
      <c r="A634" s="101"/>
      <c r="B634" s="96" t="s">
        <v>30</v>
      </c>
      <c r="C634" s="107"/>
      <c r="D634" s="83" t="s">
        <v>32</v>
      </c>
      <c r="E634" s="107" t="s">
        <v>4</v>
      </c>
      <c r="F634" s="97"/>
      <c r="G634" s="108"/>
      <c r="H634" s="109"/>
    </row>
    <row r="635" spans="1:8" ht="150.75" thickBot="1" x14ac:dyDescent="0.3">
      <c r="A635" s="102"/>
      <c r="B635" s="89" t="s">
        <v>36</v>
      </c>
      <c r="C635" s="89" t="s">
        <v>5</v>
      </c>
      <c r="D635" s="89" t="s">
        <v>33</v>
      </c>
      <c r="E635" s="89" t="s">
        <v>34</v>
      </c>
      <c r="F635" s="89" t="s">
        <v>35</v>
      </c>
      <c r="G635" s="110"/>
      <c r="H635" s="111"/>
    </row>
    <row r="636" spans="1:8" ht="15.75" thickBot="1" x14ac:dyDescent="0.3">
      <c r="A636" s="82">
        <v>1</v>
      </c>
      <c r="B636" s="89">
        <v>2</v>
      </c>
      <c r="C636" s="11">
        <v>3</v>
      </c>
      <c r="D636" s="89">
        <v>4</v>
      </c>
      <c r="E636" s="11">
        <v>5</v>
      </c>
      <c r="F636" s="89">
        <v>6</v>
      </c>
      <c r="G636" s="96" t="s">
        <v>37</v>
      </c>
      <c r="H636" s="97"/>
    </row>
    <row r="637" spans="1:8" ht="60.75" thickBot="1" x14ac:dyDescent="0.3">
      <c r="A637" s="2" t="s">
        <v>7</v>
      </c>
      <c r="B637" s="6">
        <f>B638</f>
        <v>122515.04000000001</v>
      </c>
      <c r="C637" s="12"/>
      <c r="D637" s="6">
        <f>D638</f>
        <v>38688.959999999992</v>
      </c>
      <c r="E637" s="8" t="s">
        <v>8</v>
      </c>
      <c r="F637" s="8" t="s">
        <v>8</v>
      </c>
      <c r="G637" s="90">
        <f>166280-3351-1725</f>
        <v>161204</v>
      </c>
      <c r="H637" s="91"/>
    </row>
    <row r="638" spans="1:8" ht="15.75" thickBot="1" x14ac:dyDescent="0.3">
      <c r="A638" s="3" t="s">
        <v>9</v>
      </c>
      <c r="B638" s="6">
        <f>G638*76%</f>
        <v>122515.04000000001</v>
      </c>
      <c r="C638" s="12"/>
      <c r="D638" s="84">
        <f>G638-B638</f>
        <v>38688.959999999992</v>
      </c>
      <c r="E638" s="8" t="s">
        <v>8</v>
      </c>
      <c r="F638" s="8" t="s">
        <v>8</v>
      </c>
      <c r="G638" s="90">
        <f>G637-G639</f>
        <v>161204</v>
      </c>
      <c r="H638" s="91"/>
    </row>
    <row r="639" spans="1:8" ht="15.75" thickBot="1" x14ac:dyDescent="0.3">
      <c r="A639" s="2" t="s">
        <v>10</v>
      </c>
      <c r="B639" s="6">
        <v>0</v>
      </c>
      <c r="C639" s="12"/>
      <c r="D639" s="6">
        <v>0</v>
      </c>
      <c r="E639" s="8" t="s">
        <v>8</v>
      </c>
      <c r="F639" s="8" t="s">
        <v>8</v>
      </c>
      <c r="G639" s="90"/>
      <c r="H639" s="91"/>
    </row>
    <row r="640" spans="1:8" ht="60.75" thickBot="1" x14ac:dyDescent="0.3">
      <c r="A640" s="2" t="s">
        <v>11</v>
      </c>
      <c r="B640" s="6">
        <f>G640*76%</f>
        <v>36337.879999999997</v>
      </c>
      <c r="C640" s="12"/>
      <c r="D640" s="84">
        <f>G640-B640</f>
        <v>11475.120000000003</v>
      </c>
      <c r="E640" s="8" t="s">
        <v>8</v>
      </c>
      <c r="F640" s="8" t="s">
        <v>8</v>
      </c>
      <c r="G640" s="90">
        <f>48283-470</f>
        <v>47813</v>
      </c>
      <c r="H640" s="91"/>
    </row>
    <row r="641" spans="1:9" ht="30.75" thickBot="1" x14ac:dyDescent="0.3">
      <c r="A641" s="2" t="s">
        <v>12</v>
      </c>
      <c r="B641" s="6">
        <f>G641*76%</f>
        <v>4214.96</v>
      </c>
      <c r="C641" s="12"/>
      <c r="D641" s="84">
        <f>G641-B641</f>
        <v>1331.04</v>
      </c>
      <c r="E641" s="8" t="s">
        <v>8</v>
      </c>
      <c r="F641" s="8" t="s">
        <v>8</v>
      </c>
      <c r="G641" s="90">
        <f>470+3351+1725</f>
        <v>5546</v>
      </c>
      <c r="H641" s="91"/>
      <c r="I641" s="10"/>
    </row>
    <row r="642" spans="1:9" ht="15.75" thickBot="1" x14ac:dyDescent="0.3">
      <c r="A642" s="2" t="s">
        <v>13</v>
      </c>
      <c r="B642" s="6">
        <f>G642*56%</f>
        <v>0</v>
      </c>
      <c r="C642" s="6"/>
      <c r="D642" s="84">
        <f>G642-B642</f>
        <v>0</v>
      </c>
      <c r="E642" s="8" t="s">
        <v>8</v>
      </c>
      <c r="F642" s="8" t="s">
        <v>8</v>
      </c>
      <c r="G642" s="90">
        <v>0</v>
      </c>
      <c r="H642" s="91"/>
    </row>
    <row r="643" spans="1:9" ht="30.75" thickBot="1" x14ac:dyDescent="0.3">
      <c r="A643" s="2" t="s">
        <v>14</v>
      </c>
      <c r="B643" s="6">
        <f>G643*56%</f>
        <v>9763.0400000000009</v>
      </c>
      <c r="C643" s="6"/>
      <c r="D643" s="84">
        <f>G643-B643</f>
        <v>7670.9599999999991</v>
      </c>
      <c r="E643" s="8" t="s">
        <v>8</v>
      </c>
      <c r="F643" s="8" t="s">
        <v>8</v>
      </c>
      <c r="G643" s="90">
        <v>17434</v>
      </c>
      <c r="H643" s="91"/>
      <c r="I643" s="10"/>
    </row>
    <row r="644" spans="1:9" ht="45.75" thickBot="1" x14ac:dyDescent="0.3">
      <c r="A644" s="2" t="s">
        <v>15</v>
      </c>
      <c r="B644" s="8" t="s">
        <v>8</v>
      </c>
      <c r="C644" s="8" t="s">
        <v>8</v>
      </c>
      <c r="D644" s="6"/>
      <c r="E644" s="8" t="s">
        <v>8</v>
      </c>
      <c r="F644" s="8" t="s">
        <v>8</v>
      </c>
      <c r="G644" s="90"/>
      <c r="H644" s="91"/>
    </row>
    <row r="645" spans="1:9" ht="15.75" thickBot="1" x14ac:dyDescent="0.3">
      <c r="A645" s="2" t="s">
        <v>16</v>
      </c>
      <c r="B645" s="8" t="s">
        <v>8</v>
      </c>
      <c r="C645" s="8" t="s">
        <v>8</v>
      </c>
      <c r="D645" s="12"/>
      <c r="E645" s="6">
        <v>2250</v>
      </c>
      <c r="F645" s="6"/>
      <c r="G645" s="90">
        <v>15000</v>
      </c>
      <c r="H645" s="91"/>
    </row>
    <row r="646" spans="1:9" ht="15.75" thickBot="1" x14ac:dyDescent="0.3">
      <c r="A646" s="3" t="s">
        <v>17</v>
      </c>
      <c r="B646" s="6">
        <f>G646*56%</f>
        <v>2651.6000000000004</v>
      </c>
      <c r="C646" s="8"/>
      <c r="D646" s="6"/>
      <c r="E646" s="6">
        <f>G646-B646</f>
        <v>2083.3999999999996</v>
      </c>
      <c r="F646" s="6"/>
      <c r="G646" s="90">
        <v>4735</v>
      </c>
      <c r="H646" s="91"/>
    </row>
    <row r="647" spans="1:9" ht="15.75" thickBot="1" x14ac:dyDescent="0.3">
      <c r="A647" s="3" t="s">
        <v>18</v>
      </c>
      <c r="B647" s="6"/>
      <c r="C647" s="8"/>
      <c r="D647" s="8"/>
      <c r="E647" s="6"/>
      <c r="F647" s="6"/>
      <c r="G647" s="90"/>
      <c r="H647" s="91"/>
    </row>
    <row r="648" spans="1:9" ht="45.75" thickBot="1" x14ac:dyDescent="0.3">
      <c r="A648" s="2" t="s">
        <v>19</v>
      </c>
      <c r="B648" s="6"/>
      <c r="C648" s="8"/>
      <c r="D648" s="6"/>
      <c r="E648" s="6"/>
      <c r="F648" s="6"/>
      <c r="G648" s="94"/>
      <c r="H648" s="95"/>
    </row>
    <row r="649" spans="1:9" ht="45.75" thickBot="1" x14ac:dyDescent="0.3">
      <c r="A649" s="2" t="s">
        <v>20</v>
      </c>
      <c r="B649" s="6">
        <f>G649*56%</f>
        <v>101.36000000000001</v>
      </c>
      <c r="C649" s="8"/>
      <c r="D649" s="6"/>
      <c r="E649" s="6">
        <f>G649-B649</f>
        <v>79.639999999999986</v>
      </c>
      <c r="F649" s="6"/>
      <c r="G649" s="90">
        <v>181</v>
      </c>
      <c r="H649" s="91"/>
    </row>
    <row r="650" spans="1:9" ht="30.75" thickBot="1" x14ac:dyDescent="0.3">
      <c r="A650" s="2" t="s">
        <v>21</v>
      </c>
      <c r="B650" s="6">
        <f>G650*56%</f>
        <v>5648.1600000000008</v>
      </c>
      <c r="C650" s="6"/>
      <c r="D650" s="84">
        <f>G650-B650</f>
        <v>4437.8399999999992</v>
      </c>
      <c r="E650" s="8" t="s">
        <v>8</v>
      </c>
      <c r="F650" s="8" t="s">
        <v>8</v>
      </c>
      <c r="G650" s="90">
        <f>570+9358+158</f>
        <v>10086</v>
      </c>
      <c r="H650" s="91"/>
    </row>
    <row r="651" spans="1:9" ht="15.75" thickBot="1" x14ac:dyDescent="0.3">
      <c r="A651" s="3" t="s">
        <v>22</v>
      </c>
      <c r="B651" s="6">
        <f>G651*56%</f>
        <v>288.40000000000003</v>
      </c>
      <c r="C651" s="6"/>
      <c r="D651" s="84">
        <f>G651-B651</f>
        <v>226.59999999999997</v>
      </c>
      <c r="E651" s="8" t="s">
        <v>8</v>
      </c>
      <c r="F651" s="8" t="s">
        <v>8</v>
      </c>
      <c r="G651" s="90">
        <f>18+497</f>
        <v>515</v>
      </c>
      <c r="H651" s="91"/>
    </row>
    <row r="652" spans="1:9" ht="15.75" thickBot="1" x14ac:dyDescent="0.3">
      <c r="A652" s="3" t="s">
        <v>23</v>
      </c>
      <c r="B652" s="8" t="s">
        <v>8</v>
      </c>
      <c r="C652" s="12"/>
      <c r="D652" s="8" t="s">
        <v>8</v>
      </c>
      <c r="E652" s="8" t="s">
        <v>8</v>
      </c>
      <c r="F652" s="8" t="s">
        <v>8</v>
      </c>
      <c r="G652" s="94"/>
      <c r="H652" s="95"/>
    </row>
    <row r="653" spans="1:9" ht="15.75" thickBot="1" x14ac:dyDescent="0.3">
      <c r="A653" s="3" t="s">
        <v>24</v>
      </c>
      <c r="B653" s="6">
        <f>G653*56%</f>
        <v>0</v>
      </c>
      <c r="C653" s="6"/>
      <c r="D653" s="6"/>
      <c r="E653" s="8" t="s">
        <v>8</v>
      </c>
      <c r="F653" s="8" t="s">
        <v>8</v>
      </c>
      <c r="G653" s="90"/>
      <c r="H653" s="91"/>
    </row>
    <row r="654" spans="1:9" ht="15.75" thickBot="1" x14ac:dyDescent="0.3">
      <c r="A654" s="4" t="s">
        <v>25</v>
      </c>
      <c r="B654" s="6">
        <f>SUM(B638:B653)</f>
        <v>181520.44</v>
      </c>
      <c r="C654" s="6"/>
      <c r="D654" s="6">
        <f>SUM(D638:D653)</f>
        <v>63830.51999999999</v>
      </c>
      <c r="E654" s="6">
        <f>SUM(E638:E653)</f>
        <v>4413.04</v>
      </c>
      <c r="F654" s="6"/>
      <c r="G654" s="90">
        <f>SUM(G638:H653)</f>
        <v>262514</v>
      </c>
      <c r="H654" s="91"/>
    </row>
    <row r="655" spans="1:9" x14ac:dyDescent="0.25">
      <c r="A655" s="92" t="s">
        <v>26</v>
      </c>
      <c r="B655" s="92"/>
      <c r="C655" s="92"/>
      <c r="D655" s="92"/>
      <c r="E655" s="92"/>
      <c r="F655" s="92"/>
      <c r="G655" s="92"/>
      <c r="H655" s="92"/>
    </row>
    <row r="656" spans="1:9" x14ac:dyDescent="0.25">
      <c r="A656" s="93" t="s">
        <v>27</v>
      </c>
      <c r="B656" s="93"/>
      <c r="C656" s="93"/>
      <c r="D656" s="93"/>
      <c r="E656" s="93"/>
      <c r="F656" s="93"/>
      <c r="G656" s="93"/>
      <c r="H656" s="93"/>
    </row>
    <row r="657" spans="1:8" x14ac:dyDescent="0.25">
      <c r="A657" s="93" t="s">
        <v>28</v>
      </c>
      <c r="B657" s="93"/>
      <c r="C657" s="93"/>
      <c r="D657" s="93"/>
      <c r="E657" s="93"/>
      <c r="F657" s="93"/>
      <c r="G657" s="93"/>
      <c r="H657" s="93"/>
    </row>
    <row r="658" spans="1:8" x14ac:dyDescent="0.25">
      <c r="A658" s="1"/>
      <c r="B658" s="9"/>
      <c r="C658" s="9"/>
      <c r="D658" s="9"/>
      <c r="E658" s="9"/>
      <c r="F658" s="9"/>
      <c r="G658" s="9"/>
      <c r="H658" s="9"/>
    </row>
    <row r="659" spans="1:8" ht="15.75" x14ac:dyDescent="0.25">
      <c r="A659" s="5"/>
    </row>
    <row r="660" spans="1:8" x14ac:dyDescent="0.25">
      <c r="B660" s="13" t="s">
        <v>82</v>
      </c>
      <c r="C660" s="13">
        <v>211326</v>
      </c>
    </row>
    <row r="661" spans="1:8" x14ac:dyDescent="0.25">
      <c r="C661" s="10">
        <f>C660-B654</f>
        <v>29805.559999999998</v>
      </c>
    </row>
    <row r="668" spans="1:8" x14ac:dyDescent="0.25">
      <c r="A668" s="85"/>
      <c r="B668" s="86"/>
      <c r="C668" s="86"/>
      <c r="D668" s="86"/>
      <c r="E668" s="112" t="s">
        <v>29</v>
      </c>
      <c r="F668" s="112"/>
      <c r="G668" s="112"/>
      <c r="H668" s="112"/>
    </row>
    <row r="669" spans="1:8" x14ac:dyDescent="0.25">
      <c r="A669" s="113"/>
      <c r="B669" s="114"/>
      <c r="C669" s="114"/>
      <c r="D669" s="115"/>
      <c r="E669" s="115" t="s">
        <v>0</v>
      </c>
      <c r="F669" s="115"/>
      <c r="G669" s="115"/>
      <c r="H669" s="115"/>
    </row>
    <row r="670" spans="1:8" x14ac:dyDescent="0.25">
      <c r="A670" s="113"/>
      <c r="B670" s="114"/>
      <c r="C670" s="114"/>
      <c r="D670" s="115"/>
      <c r="E670" s="115" t="s">
        <v>1</v>
      </c>
      <c r="F670" s="115"/>
      <c r="G670" s="115"/>
      <c r="H670" s="115"/>
    </row>
    <row r="671" spans="1:8" ht="15.75" thickBot="1" x14ac:dyDescent="0.3">
      <c r="A671" s="98" t="s">
        <v>51</v>
      </c>
      <c r="B671" s="98"/>
      <c r="C671" s="98"/>
      <c r="D671" s="98"/>
      <c r="E671" s="98"/>
      <c r="F671" s="98"/>
      <c r="G671" s="99"/>
      <c r="H671" s="99"/>
    </row>
    <row r="672" spans="1:8" ht="15.75" thickBot="1" x14ac:dyDescent="0.3">
      <c r="A672" s="100" t="s">
        <v>2</v>
      </c>
      <c r="B672" s="103" t="s">
        <v>30</v>
      </c>
      <c r="C672" s="104"/>
      <c r="D672" s="104"/>
      <c r="E672" s="104"/>
      <c r="F672" s="104"/>
      <c r="G672" s="105" t="s">
        <v>3</v>
      </c>
      <c r="H672" s="106"/>
    </row>
    <row r="673" spans="1:9" ht="105.75" thickBot="1" x14ac:dyDescent="0.3">
      <c r="A673" s="101"/>
      <c r="B673" s="96" t="s">
        <v>30</v>
      </c>
      <c r="C673" s="107"/>
      <c r="D673" s="83" t="s">
        <v>32</v>
      </c>
      <c r="E673" s="107" t="s">
        <v>4</v>
      </c>
      <c r="F673" s="97"/>
      <c r="G673" s="108"/>
      <c r="H673" s="109"/>
    </row>
    <row r="674" spans="1:9" ht="150.75" thickBot="1" x14ac:dyDescent="0.3">
      <c r="A674" s="102"/>
      <c r="B674" s="89" t="s">
        <v>36</v>
      </c>
      <c r="C674" s="89" t="s">
        <v>5</v>
      </c>
      <c r="D674" s="89" t="s">
        <v>33</v>
      </c>
      <c r="E674" s="89" t="s">
        <v>34</v>
      </c>
      <c r="F674" s="89" t="s">
        <v>35</v>
      </c>
      <c r="G674" s="110"/>
      <c r="H674" s="111"/>
    </row>
    <row r="675" spans="1:9" ht="15.75" thickBot="1" x14ac:dyDescent="0.3">
      <c r="A675" s="82">
        <v>1</v>
      </c>
      <c r="B675" s="89">
        <v>2</v>
      </c>
      <c r="C675" s="11">
        <v>3</v>
      </c>
      <c r="D675" s="89">
        <v>4</v>
      </c>
      <c r="E675" s="11">
        <v>5</v>
      </c>
      <c r="F675" s="89">
        <v>6</v>
      </c>
      <c r="G675" s="96" t="s">
        <v>37</v>
      </c>
      <c r="H675" s="97"/>
    </row>
    <row r="676" spans="1:9" ht="60.75" thickBot="1" x14ac:dyDescent="0.3">
      <c r="A676" s="2" t="s">
        <v>7</v>
      </c>
      <c r="B676" s="6">
        <f>B677</f>
        <v>135609.84</v>
      </c>
      <c r="C676" s="12"/>
      <c r="D676" s="6">
        <f>D677</f>
        <v>42824.160000000003</v>
      </c>
      <c r="E676" s="8" t="s">
        <v>8</v>
      </c>
      <c r="F676" s="8" t="s">
        <v>8</v>
      </c>
      <c r="G676" s="90">
        <f>183317-3309-1725+151</f>
        <v>178434</v>
      </c>
      <c r="H676" s="91"/>
    </row>
    <row r="677" spans="1:9" ht="15.75" thickBot="1" x14ac:dyDescent="0.3">
      <c r="A677" s="3" t="s">
        <v>9</v>
      </c>
      <c r="B677" s="6">
        <f>G677*76%</f>
        <v>135609.84</v>
      </c>
      <c r="C677" s="12"/>
      <c r="D677" s="84">
        <f>G677-B677</f>
        <v>42824.160000000003</v>
      </c>
      <c r="E677" s="8" t="s">
        <v>8</v>
      </c>
      <c r="F677" s="8" t="s">
        <v>8</v>
      </c>
      <c r="G677" s="90">
        <f>G676-G678</f>
        <v>178434</v>
      </c>
      <c r="H677" s="91"/>
    </row>
    <row r="678" spans="1:9" ht="15.75" thickBot="1" x14ac:dyDescent="0.3">
      <c r="A678" s="2" t="s">
        <v>10</v>
      </c>
      <c r="B678" s="6">
        <v>0</v>
      </c>
      <c r="C678" s="12"/>
      <c r="D678" s="6">
        <v>0</v>
      </c>
      <c r="E678" s="8" t="s">
        <v>8</v>
      </c>
      <c r="F678" s="8" t="s">
        <v>8</v>
      </c>
      <c r="G678" s="90"/>
      <c r="H678" s="91"/>
    </row>
    <row r="679" spans="1:9" ht="60.75" thickBot="1" x14ac:dyDescent="0.3">
      <c r="A679" s="2" t="s">
        <v>11</v>
      </c>
      <c r="B679" s="6">
        <f>G679*76%</f>
        <v>40462.400000000001</v>
      </c>
      <c r="C679" s="12"/>
      <c r="D679" s="84">
        <f>G679-B679</f>
        <v>12777.599999999999</v>
      </c>
      <c r="E679" s="8" t="s">
        <v>8</v>
      </c>
      <c r="F679" s="8" t="s">
        <v>8</v>
      </c>
      <c r="G679" s="90">
        <f>53958-525-42-151</f>
        <v>53240</v>
      </c>
      <c r="H679" s="91"/>
    </row>
    <row r="680" spans="1:9" ht="30.75" thickBot="1" x14ac:dyDescent="0.3">
      <c r="A680" s="2" t="s">
        <v>12</v>
      </c>
      <c r="B680" s="6">
        <f>G680*76%</f>
        <v>4256.76</v>
      </c>
      <c r="C680" s="12"/>
      <c r="D680" s="84">
        <f>G680-B680</f>
        <v>1344.2399999999998</v>
      </c>
      <c r="E680" s="8" t="s">
        <v>8</v>
      </c>
      <c r="F680" s="8" t="s">
        <v>8</v>
      </c>
      <c r="G680" s="90">
        <f>1725+3309+525+42</f>
        <v>5601</v>
      </c>
      <c r="H680" s="91"/>
      <c r="I680" s="10"/>
    </row>
    <row r="681" spans="1:9" ht="15.75" thickBot="1" x14ac:dyDescent="0.3">
      <c r="A681" s="2" t="s">
        <v>13</v>
      </c>
      <c r="B681" s="6">
        <f>G681*56%</f>
        <v>0</v>
      </c>
      <c r="C681" s="6"/>
      <c r="D681" s="84">
        <f>G681-B681</f>
        <v>0</v>
      </c>
      <c r="E681" s="8" t="s">
        <v>8</v>
      </c>
      <c r="F681" s="8" t="s">
        <v>8</v>
      </c>
      <c r="G681" s="90">
        <v>0</v>
      </c>
      <c r="H681" s="91"/>
      <c r="I681" s="10"/>
    </row>
    <row r="682" spans="1:9" ht="30.75" thickBot="1" x14ac:dyDescent="0.3">
      <c r="A682" s="2" t="s">
        <v>14</v>
      </c>
      <c r="B682" s="6">
        <f>G682*56%</f>
        <v>11225.76</v>
      </c>
      <c r="C682" s="6"/>
      <c r="D682" s="84">
        <f>G682-B682</f>
        <v>8820.24</v>
      </c>
      <c r="E682" s="8" t="s">
        <v>8</v>
      </c>
      <c r="F682" s="8" t="s">
        <v>8</v>
      </c>
      <c r="G682" s="90">
        <v>20046</v>
      </c>
      <c r="H682" s="91"/>
    </row>
    <row r="683" spans="1:9" ht="45.75" thickBot="1" x14ac:dyDescent="0.3">
      <c r="A683" s="2" t="s">
        <v>15</v>
      </c>
      <c r="B683" s="8" t="s">
        <v>8</v>
      </c>
      <c r="C683" s="8" t="s">
        <v>8</v>
      </c>
      <c r="D683" s="6"/>
      <c r="E683" s="8" t="s">
        <v>8</v>
      </c>
      <c r="F683" s="8" t="s">
        <v>8</v>
      </c>
      <c r="G683" s="90"/>
      <c r="H683" s="91"/>
    </row>
    <row r="684" spans="1:9" ht="15.75" thickBot="1" x14ac:dyDescent="0.3">
      <c r="A684" s="2" t="s">
        <v>16</v>
      </c>
      <c r="B684" s="8" t="s">
        <v>8</v>
      </c>
      <c r="C684" s="8" t="s">
        <v>8</v>
      </c>
      <c r="D684" s="12"/>
      <c r="E684" s="6">
        <v>5250</v>
      </c>
      <c r="F684" s="6"/>
      <c r="G684" s="90">
        <v>18000</v>
      </c>
      <c r="H684" s="91"/>
    </row>
    <row r="685" spans="1:9" ht="15.75" thickBot="1" x14ac:dyDescent="0.3">
      <c r="A685" s="3" t="s">
        <v>17</v>
      </c>
      <c r="B685" s="6">
        <f>G685*56%</f>
        <v>2651.6000000000004</v>
      </c>
      <c r="C685" s="8"/>
      <c r="D685" s="6"/>
      <c r="E685" s="6">
        <f>G685-B685</f>
        <v>2083.3999999999996</v>
      </c>
      <c r="F685" s="6"/>
      <c r="G685" s="90">
        <v>4735</v>
      </c>
      <c r="H685" s="91"/>
    </row>
    <row r="686" spans="1:9" ht="15.75" thickBot="1" x14ac:dyDescent="0.3">
      <c r="A686" s="3" t="s">
        <v>18</v>
      </c>
      <c r="B686" s="6"/>
      <c r="C686" s="8"/>
      <c r="D686" s="8"/>
      <c r="E686" s="6"/>
      <c r="F686" s="6"/>
      <c r="G686" s="90"/>
      <c r="H686" s="91"/>
    </row>
    <row r="687" spans="1:9" ht="45.75" thickBot="1" x14ac:dyDescent="0.3">
      <c r="A687" s="2" t="s">
        <v>19</v>
      </c>
      <c r="B687" s="6"/>
      <c r="C687" s="8"/>
      <c r="D687" s="6"/>
      <c r="E687" s="6"/>
      <c r="F687" s="6"/>
      <c r="G687" s="94"/>
      <c r="H687" s="95"/>
    </row>
    <row r="688" spans="1:9" ht="45.75" thickBot="1" x14ac:dyDescent="0.3">
      <c r="A688" s="2" t="s">
        <v>20</v>
      </c>
      <c r="B688" s="6">
        <f>G688*56%</f>
        <v>129.92000000000002</v>
      </c>
      <c r="C688" s="8"/>
      <c r="D688" s="6"/>
      <c r="E688" s="6">
        <f>G688-B688</f>
        <v>102.07999999999998</v>
      </c>
      <c r="F688" s="6"/>
      <c r="G688" s="90">
        <v>232</v>
      </c>
      <c r="H688" s="91"/>
    </row>
    <row r="689" spans="1:8" ht="30.75" thickBot="1" x14ac:dyDescent="0.3">
      <c r="A689" s="2" t="s">
        <v>21</v>
      </c>
      <c r="B689" s="6">
        <f>G689*56%</f>
        <v>7396.4800000000005</v>
      </c>
      <c r="C689" s="6"/>
      <c r="D689" s="84">
        <f>G689-B689</f>
        <v>5811.5199999999995</v>
      </c>
      <c r="E689" s="8" t="s">
        <v>8</v>
      </c>
      <c r="F689" s="8" t="s">
        <v>8</v>
      </c>
      <c r="G689" s="90">
        <f>570+11868+613+157</f>
        <v>13208</v>
      </c>
      <c r="H689" s="91"/>
    </row>
    <row r="690" spans="1:8" ht="15.75" thickBot="1" x14ac:dyDescent="0.3">
      <c r="A690" s="3" t="s">
        <v>22</v>
      </c>
      <c r="B690" s="6">
        <f>G690*56%</f>
        <v>300.72000000000003</v>
      </c>
      <c r="C690" s="6"/>
      <c r="D690" s="84">
        <f>G690-B690</f>
        <v>236.27999999999997</v>
      </c>
      <c r="E690" s="8" t="s">
        <v>8</v>
      </c>
      <c r="F690" s="8" t="s">
        <v>8</v>
      </c>
      <c r="G690" s="90">
        <f>519+18</f>
        <v>537</v>
      </c>
      <c r="H690" s="91"/>
    </row>
    <row r="691" spans="1:8" ht="15.75" thickBot="1" x14ac:dyDescent="0.3">
      <c r="A691" s="3" t="s">
        <v>23</v>
      </c>
      <c r="B691" s="8" t="s">
        <v>8</v>
      </c>
      <c r="C691" s="12"/>
      <c r="D691" s="8" t="s">
        <v>8</v>
      </c>
      <c r="E691" s="8" t="s">
        <v>8</v>
      </c>
      <c r="F691" s="8" t="s">
        <v>8</v>
      </c>
      <c r="G691" s="94"/>
      <c r="H691" s="95"/>
    </row>
    <row r="692" spans="1:8" ht="15.75" thickBot="1" x14ac:dyDescent="0.3">
      <c r="A692" s="3" t="s">
        <v>24</v>
      </c>
      <c r="B692" s="6">
        <f>G692*56%</f>
        <v>0</v>
      </c>
      <c r="C692" s="6"/>
      <c r="D692" s="6"/>
      <c r="E692" s="8" t="s">
        <v>8</v>
      </c>
      <c r="F692" s="8" t="s">
        <v>8</v>
      </c>
      <c r="G692" s="90"/>
      <c r="H692" s="91"/>
    </row>
    <row r="693" spans="1:8" ht="15.75" thickBot="1" x14ac:dyDescent="0.3">
      <c r="A693" s="4" t="s">
        <v>25</v>
      </c>
      <c r="B693" s="6">
        <f>SUM(B677:B692)</f>
        <v>202033.48000000004</v>
      </c>
      <c r="C693" s="6"/>
      <c r="D693" s="6">
        <f>SUM(D677:D692)</f>
        <v>71814.040000000008</v>
      </c>
      <c r="E693" s="6">
        <f>SUM(E677:E692)</f>
        <v>7435.48</v>
      </c>
      <c r="F693" s="6"/>
      <c r="G693" s="90">
        <f>SUM(G677:H692)</f>
        <v>294033</v>
      </c>
      <c r="H693" s="91"/>
    </row>
    <row r="694" spans="1:8" x14ac:dyDescent="0.25">
      <c r="A694" s="92" t="s">
        <v>26</v>
      </c>
      <c r="B694" s="92"/>
      <c r="C694" s="92"/>
      <c r="D694" s="92"/>
      <c r="E694" s="92"/>
      <c r="F694" s="92"/>
      <c r="G694" s="92"/>
      <c r="H694" s="92"/>
    </row>
    <row r="695" spans="1:8" x14ac:dyDescent="0.25">
      <c r="A695" s="93" t="s">
        <v>27</v>
      </c>
      <c r="B695" s="93"/>
      <c r="C695" s="93"/>
      <c r="D695" s="93"/>
      <c r="E695" s="93"/>
      <c r="F695" s="93"/>
      <c r="G695" s="93"/>
      <c r="H695" s="93"/>
    </row>
    <row r="696" spans="1:8" x14ac:dyDescent="0.25">
      <c r="A696" s="93" t="s">
        <v>28</v>
      </c>
      <c r="B696" s="93"/>
      <c r="C696" s="93"/>
      <c r="D696" s="93"/>
      <c r="E696" s="93"/>
      <c r="F696" s="93"/>
      <c r="G696" s="93"/>
      <c r="H696" s="93"/>
    </row>
    <row r="697" spans="1:8" x14ac:dyDescent="0.25">
      <c r="A697" s="1"/>
      <c r="B697" s="9"/>
      <c r="C697" s="9"/>
      <c r="D697" s="9"/>
      <c r="E697" s="9"/>
      <c r="F697" s="9"/>
      <c r="G697" s="9"/>
      <c r="H697" s="9"/>
    </row>
    <row r="698" spans="1:8" ht="15.75" x14ac:dyDescent="0.25">
      <c r="A698" s="5"/>
    </row>
    <row r="699" spans="1:8" x14ac:dyDescent="0.25">
      <c r="B699" s="13" t="s">
        <v>50</v>
      </c>
      <c r="C699" s="13">
        <v>234022</v>
      </c>
    </row>
    <row r="700" spans="1:8" x14ac:dyDescent="0.25">
      <c r="C700" s="10">
        <f>C699-B693</f>
        <v>31988.51999999996</v>
      </c>
    </row>
  </sheetData>
  <mergeCells count="703">
    <mergeCell ref="E3:H3"/>
    <mergeCell ref="A4:A5"/>
    <mergeCell ref="B4:B5"/>
    <mergeCell ref="C4:C5"/>
    <mergeCell ref="D4:D5"/>
    <mergeCell ref="E4:H4"/>
    <mergeCell ref="E5:H5"/>
    <mergeCell ref="G10:H10"/>
    <mergeCell ref="G11:H11"/>
    <mergeCell ref="G12:H12"/>
    <mergeCell ref="G13:H13"/>
    <mergeCell ref="G14:H14"/>
    <mergeCell ref="G15:H15"/>
    <mergeCell ref="A6:H6"/>
    <mergeCell ref="A7:A9"/>
    <mergeCell ref="B7:F7"/>
    <mergeCell ref="G7:H7"/>
    <mergeCell ref="B8:C8"/>
    <mergeCell ref="E8:F8"/>
    <mergeCell ref="G8:H8"/>
    <mergeCell ref="G9:H9"/>
    <mergeCell ref="G22:H22"/>
    <mergeCell ref="G23:H23"/>
    <mergeCell ref="G24:H24"/>
    <mergeCell ref="G25:H25"/>
    <mergeCell ref="G26:H26"/>
    <mergeCell ref="G27:H27"/>
    <mergeCell ref="G16:H16"/>
    <mergeCell ref="G17:H17"/>
    <mergeCell ref="G18:H18"/>
    <mergeCell ref="G19:H19"/>
    <mergeCell ref="G20:H20"/>
    <mergeCell ref="G21:H21"/>
    <mergeCell ref="G28:H28"/>
    <mergeCell ref="A29:H29"/>
    <mergeCell ref="A30:H30"/>
    <mergeCell ref="A31:H31"/>
    <mergeCell ref="E41:H41"/>
    <mergeCell ref="A42:A43"/>
    <mergeCell ref="B42:B43"/>
    <mergeCell ref="C42:C43"/>
    <mergeCell ref="D42:D43"/>
    <mergeCell ref="E42:H42"/>
    <mergeCell ref="G48:H48"/>
    <mergeCell ref="G49:H49"/>
    <mergeCell ref="G50:H50"/>
    <mergeCell ref="G51:H51"/>
    <mergeCell ref="G52:H52"/>
    <mergeCell ref="G53:H53"/>
    <mergeCell ref="E43:H43"/>
    <mergeCell ref="A44:H44"/>
    <mergeCell ref="A45:A47"/>
    <mergeCell ref="B45:F45"/>
    <mergeCell ref="G45:H45"/>
    <mergeCell ref="B46:C46"/>
    <mergeCell ref="E46:F46"/>
    <mergeCell ref="G46:H46"/>
    <mergeCell ref="G47:H47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66:H66"/>
    <mergeCell ref="A67:H67"/>
    <mergeCell ref="A68:H68"/>
    <mergeCell ref="A69:H69"/>
    <mergeCell ref="E77:H77"/>
    <mergeCell ref="A78:A79"/>
    <mergeCell ref="B78:B79"/>
    <mergeCell ref="C78:C79"/>
    <mergeCell ref="D78:D79"/>
    <mergeCell ref="E78:H78"/>
    <mergeCell ref="G84:H84"/>
    <mergeCell ref="G85:H85"/>
    <mergeCell ref="G86:H86"/>
    <mergeCell ref="G87:H87"/>
    <mergeCell ref="G88:H88"/>
    <mergeCell ref="G89:H89"/>
    <mergeCell ref="E79:H79"/>
    <mergeCell ref="A80:H80"/>
    <mergeCell ref="A81:A83"/>
    <mergeCell ref="B81:F81"/>
    <mergeCell ref="G81:H81"/>
    <mergeCell ref="B82:C82"/>
    <mergeCell ref="E82:F82"/>
    <mergeCell ref="G82:H82"/>
    <mergeCell ref="G83:H83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102:H102"/>
    <mergeCell ref="A103:H103"/>
    <mergeCell ref="A104:H104"/>
    <mergeCell ref="A105:H105"/>
    <mergeCell ref="E116:H116"/>
    <mergeCell ref="A117:A118"/>
    <mergeCell ref="B117:B118"/>
    <mergeCell ref="C117:C118"/>
    <mergeCell ref="D117:D118"/>
    <mergeCell ref="E117:H117"/>
    <mergeCell ref="G123:H123"/>
    <mergeCell ref="G124:H124"/>
    <mergeCell ref="G125:H125"/>
    <mergeCell ref="G126:H126"/>
    <mergeCell ref="G127:H127"/>
    <mergeCell ref="G128:H128"/>
    <mergeCell ref="E118:H118"/>
    <mergeCell ref="A119:H119"/>
    <mergeCell ref="A120:A122"/>
    <mergeCell ref="B120:F120"/>
    <mergeCell ref="G120:H120"/>
    <mergeCell ref="B121:C121"/>
    <mergeCell ref="E121:F121"/>
    <mergeCell ref="G121:H121"/>
    <mergeCell ref="G122:H122"/>
    <mergeCell ref="G135:H135"/>
    <mergeCell ref="G136:H136"/>
    <mergeCell ref="G137:H137"/>
    <mergeCell ref="G138:H138"/>
    <mergeCell ref="G139:H139"/>
    <mergeCell ref="G140:H140"/>
    <mergeCell ref="G129:H129"/>
    <mergeCell ref="G130:H130"/>
    <mergeCell ref="G131:H131"/>
    <mergeCell ref="G132:H132"/>
    <mergeCell ref="G133:H133"/>
    <mergeCell ref="G134:H134"/>
    <mergeCell ref="G141:H141"/>
    <mergeCell ref="A142:H142"/>
    <mergeCell ref="A143:H143"/>
    <mergeCell ref="A144:H144"/>
    <mergeCell ref="E155:H155"/>
    <mergeCell ref="A156:A157"/>
    <mergeCell ref="B156:B157"/>
    <mergeCell ref="C156:C157"/>
    <mergeCell ref="D156:D157"/>
    <mergeCell ref="E156:H156"/>
    <mergeCell ref="G162:H162"/>
    <mergeCell ref="G163:H163"/>
    <mergeCell ref="G164:H164"/>
    <mergeCell ref="G165:H165"/>
    <mergeCell ref="G166:H166"/>
    <mergeCell ref="G167:H167"/>
    <mergeCell ref="E157:H157"/>
    <mergeCell ref="A158:H158"/>
    <mergeCell ref="A159:A161"/>
    <mergeCell ref="B159:F159"/>
    <mergeCell ref="G159:H159"/>
    <mergeCell ref="B160:C160"/>
    <mergeCell ref="E160:F160"/>
    <mergeCell ref="G160:H160"/>
    <mergeCell ref="G161:H161"/>
    <mergeCell ref="G174:H174"/>
    <mergeCell ref="G175:H175"/>
    <mergeCell ref="G176:H176"/>
    <mergeCell ref="G177:H177"/>
    <mergeCell ref="G178:H178"/>
    <mergeCell ref="G179:H179"/>
    <mergeCell ref="G168:H168"/>
    <mergeCell ref="G169:H169"/>
    <mergeCell ref="G170:H170"/>
    <mergeCell ref="G171:H171"/>
    <mergeCell ref="G172:H172"/>
    <mergeCell ref="G173:H173"/>
    <mergeCell ref="G180:H180"/>
    <mergeCell ref="A181:H181"/>
    <mergeCell ref="A182:H182"/>
    <mergeCell ref="A183:H183"/>
    <mergeCell ref="E191:H191"/>
    <mergeCell ref="A192:A193"/>
    <mergeCell ref="B192:B193"/>
    <mergeCell ref="C192:C193"/>
    <mergeCell ref="D192:D193"/>
    <mergeCell ref="E192:H192"/>
    <mergeCell ref="G198:H198"/>
    <mergeCell ref="G199:H199"/>
    <mergeCell ref="G200:H200"/>
    <mergeCell ref="G201:H201"/>
    <mergeCell ref="G202:H202"/>
    <mergeCell ref="G203:H203"/>
    <mergeCell ref="E193:H193"/>
    <mergeCell ref="A194:H194"/>
    <mergeCell ref="A195:A197"/>
    <mergeCell ref="B195:F195"/>
    <mergeCell ref="G195:H195"/>
    <mergeCell ref="B196:C196"/>
    <mergeCell ref="E196:F196"/>
    <mergeCell ref="G196:H196"/>
    <mergeCell ref="G197:H197"/>
    <mergeCell ref="G210:H210"/>
    <mergeCell ref="G211:H211"/>
    <mergeCell ref="G212:H212"/>
    <mergeCell ref="G213:H213"/>
    <mergeCell ref="G214:H214"/>
    <mergeCell ref="G215:H215"/>
    <mergeCell ref="G204:H204"/>
    <mergeCell ref="G205:H205"/>
    <mergeCell ref="G206:H206"/>
    <mergeCell ref="G207:H207"/>
    <mergeCell ref="G208:H208"/>
    <mergeCell ref="G209:H209"/>
    <mergeCell ref="G216:H216"/>
    <mergeCell ref="A217:H217"/>
    <mergeCell ref="A218:H218"/>
    <mergeCell ref="A219:H219"/>
    <mergeCell ref="E228:H228"/>
    <mergeCell ref="A229:A230"/>
    <mergeCell ref="B229:B230"/>
    <mergeCell ref="C229:C230"/>
    <mergeCell ref="D229:D230"/>
    <mergeCell ref="E229:H229"/>
    <mergeCell ref="G235:H235"/>
    <mergeCell ref="G236:H236"/>
    <mergeCell ref="G237:H237"/>
    <mergeCell ref="G238:H238"/>
    <mergeCell ref="G239:H239"/>
    <mergeCell ref="G240:H240"/>
    <mergeCell ref="E230:H230"/>
    <mergeCell ref="A231:H231"/>
    <mergeCell ref="A232:A234"/>
    <mergeCell ref="B232:F232"/>
    <mergeCell ref="G232:H232"/>
    <mergeCell ref="B233:C233"/>
    <mergeCell ref="E233:F233"/>
    <mergeCell ref="G233:H233"/>
    <mergeCell ref="G234:H234"/>
    <mergeCell ref="G247:H247"/>
    <mergeCell ref="G248:H248"/>
    <mergeCell ref="G249:H249"/>
    <mergeCell ref="G250:H250"/>
    <mergeCell ref="G251:H251"/>
    <mergeCell ref="G252:H252"/>
    <mergeCell ref="G241:H241"/>
    <mergeCell ref="G242:H242"/>
    <mergeCell ref="G243:H243"/>
    <mergeCell ref="G244:H244"/>
    <mergeCell ref="G245:H245"/>
    <mergeCell ref="G246:H246"/>
    <mergeCell ref="G253:H253"/>
    <mergeCell ref="A254:H254"/>
    <mergeCell ref="A255:H255"/>
    <mergeCell ref="A256:H256"/>
    <mergeCell ref="E265:H265"/>
    <mergeCell ref="A266:A267"/>
    <mergeCell ref="B266:B267"/>
    <mergeCell ref="C266:C267"/>
    <mergeCell ref="D266:D267"/>
    <mergeCell ref="E266:H266"/>
    <mergeCell ref="G272:H272"/>
    <mergeCell ref="G273:H273"/>
    <mergeCell ref="G274:H274"/>
    <mergeCell ref="G275:H275"/>
    <mergeCell ref="G276:H276"/>
    <mergeCell ref="G277:H277"/>
    <mergeCell ref="E267:H267"/>
    <mergeCell ref="A268:H268"/>
    <mergeCell ref="A269:A271"/>
    <mergeCell ref="B269:F269"/>
    <mergeCell ref="G269:H269"/>
    <mergeCell ref="B270:C270"/>
    <mergeCell ref="E270:F270"/>
    <mergeCell ref="G270:H270"/>
    <mergeCell ref="G271:H271"/>
    <mergeCell ref="G284:H284"/>
    <mergeCell ref="G285:H285"/>
    <mergeCell ref="G286:H286"/>
    <mergeCell ref="G287:H287"/>
    <mergeCell ref="G288:H288"/>
    <mergeCell ref="G289:H289"/>
    <mergeCell ref="G278:H278"/>
    <mergeCell ref="G279:H279"/>
    <mergeCell ref="G280:H280"/>
    <mergeCell ref="G281:H281"/>
    <mergeCell ref="G282:H282"/>
    <mergeCell ref="G283:H283"/>
    <mergeCell ref="G290:H290"/>
    <mergeCell ref="A291:H291"/>
    <mergeCell ref="A292:H292"/>
    <mergeCell ref="A293:H293"/>
    <mergeCell ref="E299:H299"/>
    <mergeCell ref="A300:A301"/>
    <mergeCell ref="B300:B301"/>
    <mergeCell ref="C300:C301"/>
    <mergeCell ref="D300:D301"/>
    <mergeCell ref="E300:H300"/>
    <mergeCell ref="G306:H306"/>
    <mergeCell ref="G307:H307"/>
    <mergeCell ref="G308:H308"/>
    <mergeCell ref="G309:H309"/>
    <mergeCell ref="G310:H310"/>
    <mergeCell ref="G311:H311"/>
    <mergeCell ref="E301:H301"/>
    <mergeCell ref="A302:H302"/>
    <mergeCell ref="A303:A305"/>
    <mergeCell ref="B303:F303"/>
    <mergeCell ref="G303:H303"/>
    <mergeCell ref="B304:C304"/>
    <mergeCell ref="E304:F304"/>
    <mergeCell ref="G304:H304"/>
    <mergeCell ref="G305:H305"/>
    <mergeCell ref="G318:H318"/>
    <mergeCell ref="G319:H319"/>
    <mergeCell ref="G320:H320"/>
    <mergeCell ref="G321:H321"/>
    <mergeCell ref="G322:H322"/>
    <mergeCell ref="G323:H323"/>
    <mergeCell ref="G312:H312"/>
    <mergeCell ref="G313:H313"/>
    <mergeCell ref="G314:H314"/>
    <mergeCell ref="G315:H315"/>
    <mergeCell ref="G316:H316"/>
    <mergeCell ref="G317:H317"/>
    <mergeCell ref="G324:H324"/>
    <mergeCell ref="A325:H325"/>
    <mergeCell ref="A326:H326"/>
    <mergeCell ref="A327:H327"/>
    <mergeCell ref="E337:H337"/>
    <mergeCell ref="A338:A339"/>
    <mergeCell ref="B338:B339"/>
    <mergeCell ref="C338:C339"/>
    <mergeCell ref="D338:D339"/>
    <mergeCell ref="E338:H338"/>
    <mergeCell ref="G344:H344"/>
    <mergeCell ref="G345:H345"/>
    <mergeCell ref="G346:H346"/>
    <mergeCell ref="G347:H347"/>
    <mergeCell ref="G348:H348"/>
    <mergeCell ref="G349:H349"/>
    <mergeCell ref="E339:H339"/>
    <mergeCell ref="A340:H340"/>
    <mergeCell ref="A341:A343"/>
    <mergeCell ref="B341:F341"/>
    <mergeCell ref="G341:H341"/>
    <mergeCell ref="B342:C342"/>
    <mergeCell ref="E342:F342"/>
    <mergeCell ref="G342:H342"/>
    <mergeCell ref="G343:H343"/>
    <mergeCell ref="G356:H356"/>
    <mergeCell ref="G357:H357"/>
    <mergeCell ref="G358:H358"/>
    <mergeCell ref="G359:H359"/>
    <mergeCell ref="G360:H360"/>
    <mergeCell ref="G361:H361"/>
    <mergeCell ref="G350:H350"/>
    <mergeCell ref="G351:H351"/>
    <mergeCell ref="G352:H352"/>
    <mergeCell ref="G353:H353"/>
    <mergeCell ref="G354:H354"/>
    <mergeCell ref="G355:H355"/>
    <mergeCell ref="G362:H362"/>
    <mergeCell ref="A363:H363"/>
    <mergeCell ref="A364:H364"/>
    <mergeCell ref="A365:H365"/>
    <mergeCell ref="E373:H373"/>
    <mergeCell ref="A374:A375"/>
    <mergeCell ref="B374:B375"/>
    <mergeCell ref="C374:C375"/>
    <mergeCell ref="D374:D375"/>
    <mergeCell ref="E374:H374"/>
    <mergeCell ref="G380:H380"/>
    <mergeCell ref="G381:H381"/>
    <mergeCell ref="G382:H382"/>
    <mergeCell ref="G383:H383"/>
    <mergeCell ref="G384:H384"/>
    <mergeCell ref="G385:H385"/>
    <mergeCell ref="E375:H375"/>
    <mergeCell ref="A376:H376"/>
    <mergeCell ref="A377:A379"/>
    <mergeCell ref="B377:F377"/>
    <mergeCell ref="G377:H377"/>
    <mergeCell ref="B378:C378"/>
    <mergeCell ref="E378:F378"/>
    <mergeCell ref="G378:H378"/>
    <mergeCell ref="G379:H379"/>
    <mergeCell ref="G392:H392"/>
    <mergeCell ref="G393:H393"/>
    <mergeCell ref="G394:H394"/>
    <mergeCell ref="G395:H395"/>
    <mergeCell ref="G396:H396"/>
    <mergeCell ref="G397:H397"/>
    <mergeCell ref="G386:H386"/>
    <mergeCell ref="G387:H387"/>
    <mergeCell ref="G388:H388"/>
    <mergeCell ref="G389:H389"/>
    <mergeCell ref="G390:H390"/>
    <mergeCell ref="G391:H391"/>
    <mergeCell ref="G398:H398"/>
    <mergeCell ref="A399:H399"/>
    <mergeCell ref="A400:H400"/>
    <mergeCell ref="A401:H401"/>
    <mergeCell ref="E411:H411"/>
    <mergeCell ref="A412:A413"/>
    <mergeCell ref="B412:B413"/>
    <mergeCell ref="C412:C413"/>
    <mergeCell ref="D412:D413"/>
    <mergeCell ref="E412:H412"/>
    <mergeCell ref="G421:H421"/>
    <mergeCell ref="G422:H422"/>
    <mergeCell ref="G423:H423"/>
    <mergeCell ref="G424:H424"/>
    <mergeCell ref="G425:H425"/>
    <mergeCell ref="G426:H426"/>
    <mergeCell ref="E413:H413"/>
    <mergeCell ref="A414:H414"/>
    <mergeCell ref="A415:H417"/>
    <mergeCell ref="A418:H418"/>
    <mergeCell ref="A419:A421"/>
    <mergeCell ref="B419:F419"/>
    <mergeCell ref="G419:H419"/>
    <mergeCell ref="B420:C420"/>
    <mergeCell ref="E420:F420"/>
    <mergeCell ref="G420:H420"/>
    <mergeCell ref="G433:H433"/>
    <mergeCell ref="G434:H434"/>
    <mergeCell ref="G435:H435"/>
    <mergeCell ref="G436:H436"/>
    <mergeCell ref="G437:H437"/>
    <mergeCell ref="G438:H438"/>
    <mergeCell ref="G427:H427"/>
    <mergeCell ref="G428:H428"/>
    <mergeCell ref="G429:H429"/>
    <mergeCell ref="G430:H430"/>
    <mergeCell ref="G431:H431"/>
    <mergeCell ref="G432:H432"/>
    <mergeCell ref="G439:H439"/>
    <mergeCell ref="G440:H440"/>
    <mergeCell ref="A441:H444"/>
    <mergeCell ref="E454:H454"/>
    <mergeCell ref="A455:A456"/>
    <mergeCell ref="B455:B456"/>
    <mergeCell ref="C455:C456"/>
    <mergeCell ref="D455:D456"/>
    <mergeCell ref="E455:H455"/>
    <mergeCell ref="E456:H456"/>
    <mergeCell ref="G461:H461"/>
    <mergeCell ref="G462:H462"/>
    <mergeCell ref="G463:H463"/>
    <mergeCell ref="G464:H464"/>
    <mergeCell ref="G465:H465"/>
    <mergeCell ref="G466:H466"/>
    <mergeCell ref="A457:H457"/>
    <mergeCell ref="A458:A460"/>
    <mergeCell ref="B458:F458"/>
    <mergeCell ref="G458:H458"/>
    <mergeCell ref="B459:C459"/>
    <mergeCell ref="E459:F459"/>
    <mergeCell ref="G459:H459"/>
    <mergeCell ref="G460:H460"/>
    <mergeCell ref="G473:H473"/>
    <mergeCell ref="G474:H474"/>
    <mergeCell ref="G475:H475"/>
    <mergeCell ref="G476:H476"/>
    <mergeCell ref="G477:H477"/>
    <mergeCell ref="G478:H478"/>
    <mergeCell ref="G467:H467"/>
    <mergeCell ref="G468:H468"/>
    <mergeCell ref="G469:H469"/>
    <mergeCell ref="G470:H470"/>
    <mergeCell ref="G471:H471"/>
    <mergeCell ref="G472:H472"/>
    <mergeCell ref="G479:H479"/>
    <mergeCell ref="A480:H480"/>
    <mergeCell ref="A481:H481"/>
    <mergeCell ref="A482:H482"/>
    <mergeCell ref="E488:H488"/>
    <mergeCell ref="A489:A490"/>
    <mergeCell ref="B489:B490"/>
    <mergeCell ref="C489:C490"/>
    <mergeCell ref="D489:D490"/>
    <mergeCell ref="E489:H489"/>
    <mergeCell ref="G495:H495"/>
    <mergeCell ref="G496:H496"/>
    <mergeCell ref="G497:H497"/>
    <mergeCell ref="G498:H498"/>
    <mergeCell ref="G499:H499"/>
    <mergeCell ref="G500:H500"/>
    <mergeCell ref="E490:H490"/>
    <mergeCell ref="A491:H491"/>
    <mergeCell ref="A492:A494"/>
    <mergeCell ref="B492:F492"/>
    <mergeCell ref="G492:H492"/>
    <mergeCell ref="B493:C493"/>
    <mergeCell ref="E493:F493"/>
    <mergeCell ref="G493:H493"/>
    <mergeCell ref="G494:H494"/>
    <mergeCell ref="G507:H507"/>
    <mergeCell ref="G508:H508"/>
    <mergeCell ref="G509:H509"/>
    <mergeCell ref="G510:H510"/>
    <mergeCell ref="G511:H511"/>
    <mergeCell ref="G512:H512"/>
    <mergeCell ref="G501:H501"/>
    <mergeCell ref="G502:H502"/>
    <mergeCell ref="G503:H503"/>
    <mergeCell ref="G504:H504"/>
    <mergeCell ref="G505:H505"/>
    <mergeCell ref="G506:H506"/>
    <mergeCell ref="G513:H513"/>
    <mergeCell ref="A514:H514"/>
    <mergeCell ref="A515:H515"/>
    <mergeCell ref="A516:H516"/>
    <mergeCell ref="E523:H523"/>
    <mergeCell ref="A524:A525"/>
    <mergeCell ref="B524:B525"/>
    <mergeCell ref="C524:C525"/>
    <mergeCell ref="D524:D525"/>
    <mergeCell ref="E524:H524"/>
    <mergeCell ref="G530:H530"/>
    <mergeCell ref="G531:H531"/>
    <mergeCell ref="G532:H532"/>
    <mergeCell ref="G533:H533"/>
    <mergeCell ref="G534:H534"/>
    <mergeCell ref="G535:H535"/>
    <mergeCell ref="E525:H525"/>
    <mergeCell ref="A526:H526"/>
    <mergeCell ref="A527:A529"/>
    <mergeCell ref="B527:F527"/>
    <mergeCell ref="G527:H527"/>
    <mergeCell ref="B528:C528"/>
    <mergeCell ref="E528:F528"/>
    <mergeCell ref="G528:H528"/>
    <mergeCell ref="G529:H529"/>
    <mergeCell ref="G542:H542"/>
    <mergeCell ref="G543:H543"/>
    <mergeCell ref="G544:H544"/>
    <mergeCell ref="G545:H545"/>
    <mergeCell ref="G546:H546"/>
    <mergeCell ref="G547:H547"/>
    <mergeCell ref="G536:H536"/>
    <mergeCell ref="G537:H537"/>
    <mergeCell ref="G538:H538"/>
    <mergeCell ref="G539:H539"/>
    <mergeCell ref="G540:H540"/>
    <mergeCell ref="G541:H541"/>
    <mergeCell ref="G548:H548"/>
    <mergeCell ref="A549:H549"/>
    <mergeCell ref="A550:H550"/>
    <mergeCell ref="A551:H551"/>
    <mergeCell ref="E559:H559"/>
    <mergeCell ref="A560:A561"/>
    <mergeCell ref="B560:B561"/>
    <mergeCell ref="C560:C561"/>
    <mergeCell ref="D560:D561"/>
    <mergeCell ref="E560:H560"/>
    <mergeCell ref="G566:H566"/>
    <mergeCell ref="G567:H567"/>
    <mergeCell ref="G568:H568"/>
    <mergeCell ref="G569:H569"/>
    <mergeCell ref="G570:H570"/>
    <mergeCell ref="G571:H571"/>
    <mergeCell ref="E561:H561"/>
    <mergeCell ref="A562:H562"/>
    <mergeCell ref="A563:A565"/>
    <mergeCell ref="B563:F563"/>
    <mergeCell ref="G563:H563"/>
    <mergeCell ref="B564:C564"/>
    <mergeCell ref="E564:F564"/>
    <mergeCell ref="G564:H564"/>
    <mergeCell ref="G565:H565"/>
    <mergeCell ref="G578:H578"/>
    <mergeCell ref="G579:H579"/>
    <mergeCell ref="G580:H580"/>
    <mergeCell ref="G581:H581"/>
    <mergeCell ref="G582:H582"/>
    <mergeCell ref="G583:H583"/>
    <mergeCell ref="G572:H572"/>
    <mergeCell ref="G573:H573"/>
    <mergeCell ref="G574:H574"/>
    <mergeCell ref="G575:H575"/>
    <mergeCell ref="G576:H576"/>
    <mergeCell ref="G577:H577"/>
    <mergeCell ref="G584:H584"/>
    <mergeCell ref="A585:H585"/>
    <mergeCell ref="A586:H586"/>
    <mergeCell ref="A587:H587"/>
    <mergeCell ref="E593:H593"/>
    <mergeCell ref="A594:A595"/>
    <mergeCell ref="B594:B595"/>
    <mergeCell ref="C594:C595"/>
    <mergeCell ref="D594:D595"/>
    <mergeCell ref="E594:H594"/>
    <mergeCell ref="G600:H600"/>
    <mergeCell ref="G601:H601"/>
    <mergeCell ref="G602:H602"/>
    <mergeCell ref="G603:H603"/>
    <mergeCell ref="G604:H604"/>
    <mergeCell ref="G605:H605"/>
    <mergeCell ref="E595:H595"/>
    <mergeCell ref="A596:H596"/>
    <mergeCell ref="A597:A599"/>
    <mergeCell ref="B597:F597"/>
    <mergeCell ref="G597:H597"/>
    <mergeCell ref="B598:C598"/>
    <mergeCell ref="E598:F598"/>
    <mergeCell ref="G598:H598"/>
    <mergeCell ref="G599:H599"/>
    <mergeCell ref="G612:H612"/>
    <mergeCell ref="G613:H613"/>
    <mergeCell ref="G614:H614"/>
    <mergeCell ref="G615:H615"/>
    <mergeCell ref="G616:H616"/>
    <mergeCell ref="G617:H617"/>
    <mergeCell ref="G606:H606"/>
    <mergeCell ref="G607:H607"/>
    <mergeCell ref="G608:H608"/>
    <mergeCell ref="G609:H609"/>
    <mergeCell ref="G610:H610"/>
    <mergeCell ref="G611:H611"/>
    <mergeCell ref="G618:H618"/>
    <mergeCell ref="A619:H619"/>
    <mergeCell ref="A620:H620"/>
    <mergeCell ref="A621:H621"/>
    <mergeCell ref="E629:H629"/>
    <mergeCell ref="A630:A631"/>
    <mergeCell ref="B630:B631"/>
    <mergeCell ref="C630:C631"/>
    <mergeCell ref="D630:D631"/>
    <mergeCell ref="E630:H630"/>
    <mergeCell ref="G636:H636"/>
    <mergeCell ref="G637:H637"/>
    <mergeCell ref="G638:H638"/>
    <mergeCell ref="G639:H639"/>
    <mergeCell ref="G640:H640"/>
    <mergeCell ref="G641:H641"/>
    <mergeCell ref="E631:H631"/>
    <mergeCell ref="A632:H632"/>
    <mergeCell ref="A633:A635"/>
    <mergeCell ref="B633:F633"/>
    <mergeCell ref="G633:H633"/>
    <mergeCell ref="B634:C634"/>
    <mergeCell ref="E634:F634"/>
    <mergeCell ref="G634:H634"/>
    <mergeCell ref="G635:H635"/>
    <mergeCell ref="G648:H648"/>
    <mergeCell ref="G649:H649"/>
    <mergeCell ref="G650:H650"/>
    <mergeCell ref="G651:H651"/>
    <mergeCell ref="G652:H652"/>
    <mergeCell ref="G653:H653"/>
    <mergeCell ref="G642:H642"/>
    <mergeCell ref="G643:H643"/>
    <mergeCell ref="G644:H644"/>
    <mergeCell ref="G645:H645"/>
    <mergeCell ref="G646:H646"/>
    <mergeCell ref="G647:H647"/>
    <mergeCell ref="G654:H654"/>
    <mergeCell ref="A655:H655"/>
    <mergeCell ref="A656:H656"/>
    <mergeCell ref="A657:H657"/>
    <mergeCell ref="E668:H668"/>
    <mergeCell ref="A669:A670"/>
    <mergeCell ref="B669:B670"/>
    <mergeCell ref="C669:C670"/>
    <mergeCell ref="D669:D670"/>
    <mergeCell ref="E669:H669"/>
    <mergeCell ref="E670:H670"/>
    <mergeCell ref="A671:H671"/>
    <mergeCell ref="A672:A674"/>
    <mergeCell ref="B672:F672"/>
    <mergeCell ref="G672:H672"/>
    <mergeCell ref="B673:C673"/>
    <mergeCell ref="E673:F673"/>
    <mergeCell ref="G673:H673"/>
    <mergeCell ref="G674:H674"/>
    <mergeCell ref="G681:H681"/>
    <mergeCell ref="G682:H682"/>
    <mergeCell ref="G683:H683"/>
    <mergeCell ref="G684:H684"/>
    <mergeCell ref="G685:H685"/>
    <mergeCell ref="G686:H686"/>
    <mergeCell ref="G675:H675"/>
    <mergeCell ref="G676:H676"/>
    <mergeCell ref="G677:H677"/>
    <mergeCell ref="G678:H678"/>
    <mergeCell ref="G679:H679"/>
    <mergeCell ref="G680:H680"/>
    <mergeCell ref="G693:H693"/>
    <mergeCell ref="A694:H694"/>
    <mergeCell ref="A695:H695"/>
    <mergeCell ref="A696:H696"/>
    <mergeCell ref="G687:H687"/>
    <mergeCell ref="G688:H688"/>
    <mergeCell ref="G689:H689"/>
    <mergeCell ref="G690:H690"/>
    <mergeCell ref="G691:H691"/>
    <mergeCell ref="G692:H692"/>
  </mergeCells>
  <pageMargins left="0.11811023622047245" right="0.31496062992125984" top="0.15748031496062992" bottom="0.15748031496062992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10</vt:i4>
      </vt:variant>
    </vt:vector>
  </HeadingPairs>
  <TitlesOfParts>
    <vt:vector size="10" baseType="lpstr">
      <vt:lpstr>ЧОУ 2021</vt:lpstr>
      <vt:lpstr>ЧОУ 2022</vt:lpstr>
      <vt:lpstr>ЧОУ 2023</vt:lpstr>
      <vt:lpstr>ЧЕГ 2021</vt:lpstr>
      <vt:lpstr>ЧЕГ 2022</vt:lpstr>
      <vt:lpstr>ЧЕГ 2023</vt:lpstr>
      <vt:lpstr>ЧОУ 2024</vt:lpstr>
      <vt:lpstr>ЧЕГ2024</vt:lpstr>
      <vt:lpstr>ЧОУ 2025</vt:lpstr>
      <vt:lpstr>ЧЕГ2025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2026-01-28T08:13:44Z</dcterms:modified>
</cp:coreProperties>
</file>